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66925"/>
  <mc:AlternateContent xmlns:mc="http://schemas.openxmlformats.org/markup-compatibility/2006">
    <mc:Choice Requires="x15">
      <x15ac:absPath xmlns:x15ac="http://schemas.microsoft.com/office/spreadsheetml/2010/11/ac" url="G:\Shared drives\SEC Reporting\Quarterly-Annual Review\2021 Q4\PR Fins, PR Narrative, AC Deck\"/>
    </mc:Choice>
  </mc:AlternateContent>
  <xr:revisionPtr revIDLastSave="0" documentId="10_ncr:100000_{D3C5DD52-8885-46D1-ACDF-9C8C3044D638}" xr6:coauthVersionLast="31" xr6:coauthVersionMax="45" xr10:uidLastSave="{00000000-0000-0000-0000-000000000000}"/>
  <bookViews>
    <workbookView xWindow="-105" yWindow="-105" windowWidth="29025" windowHeight="15825" activeTab="5"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BS!$A$1:$T$53</definedName>
    <definedName name="_xlnm.Print_Area" localSheetId="6">CF!$A$1:$V$57</definedName>
    <definedName name="_xlnm.Print_Area" localSheetId="0">Cover!$A$2:$D$38</definedName>
    <definedName name="_xlnm.Print_Area" localSheetId="4">EBITDA!$A$1:$X$24</definedName>
    <definedName name="_xlnm.Print_Area" localSheetId="5">EPS!$A$1:$X$38</definedName>
    <definedName name="_xlnm.Print_Area" localSheetId="1">'Income Statement'!$A$1:$W$77</definedName>
    <definedName name="_xlnm.Print_Area" localSheetId="3">'Revenue &amp; Customer Detail'!$A$1:$AB$24</definedName>
    <definedName name="_xlnm.Print_Titles" localSheetId="2">'GAAP to Non-GAAP Inc Stmt'!$2:$8</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74" i="20" l="1"/>
  <c r="W39" i="20"/>
  <c r="W37" i="20"/>
  <c r="W33" i="4"/>
  <c r="W32" i="4"/>
  <c r="W16" i="4"/>
  <c r="W15" i="4"/>
  <c r="V26" i="1" l="1"/>
  <c r="Q26" i="1"/>
  <c r="S50" i="17" l="1"/>
  <c r="S38" i="17"/>
  <c r="S20" i="17"/>
  <c r="S26" i="17" s="1"/>
  <c r="S16" i="17"/>
  <c r="V55" i="19"/>
  <c r="V52" i="19"/>
  <c r="V49" i="19"/>
  <c r="V48" i="19"/>
  <c r="V47" i="19"/>
  <c r="V50" i="19" s="1"/>
  <c r="V43" i="19"/>
  <c r="V42" i="19"/>
  <c r="V41" i="19"/>
  <c r="V40" i="19"/>
  <c r="V39" i="19"/>
  <c r="V38" i="19"/>
  <c r="V34" i="19"/>
  <c r="V33" i="19"/>
  <c r="V32" i="19"/>
  <c r="V31" i="19"/>
  <c r="V30" i="19"/>
  <c r="V29" i="19"/>
  <c r="V28" i="19"/>
  <c r="V24" i="19"/>
  <c r="V23" i="19"/>
  <c r="V22" i="19"/>
  <c r="V21" i="19"/>
  <c r="V20" i="19"/>
  <c r="V19" i="19"/>
  <c r="V17" i="19"/>
  <c r="V16" i="19"/>
  <c r="V15" i="19"/>
  <c r="V14" i="19"/>
  <c r="V13" i="19"/>
  <c r="V12" i="19"/>
  <c r="V10" i="19"/>
  <c r="V9" i="19"/>
  <c r="U55" i="19"/>
  <c r="U50" i="19"/>
  <c r="U44" i="19"/>
  <c r="U35" i="19"/>
  <c r="U25" i="19"/>
  <c r="W14" i="3"/>
  <c r="S51" i="17" l="1"/>
  <c r="V44" i="19"/>
  <c r="V35" i="19"/>
  <c r="U54" i="19"/>
  <c r="U56" i="19" s="1"/>
  <c r="V25" i="19"/>
  <c r="V54" i="19" l="1"/>
  <c r="V56" i="19" s="1"/>
  <c r="W28" i="4" l="1"/>
  <c r="W23" i="4"/>
  <c r="W22" i="4"/>
  <c r="W21" i="4"/>
  <c r="W20" i="4"/>
  <c r="W19" i="4"/>
  <c r="W24" i="4" s="1"/>
  <c r="W11" i="4"/>
  <c r="V23" i="4"/>
  <c r="V21" i="4"/>
  <c r="V20" i="4"/>
  <c r="V24" i="4" s="1"/>
  <c r="V19" i="4"/>
  <c r="V11" i="4"/>
  <c r="W21" i="3"/>
  <c r="W20" i="3"/>
  <c r="W19" i="3"/>
  <c r="W18" i="3"/>
  <c r="W11" i="3"/>
  <c r="V19" i="3"/>
  <c r="V18" i="3"/>
  <c r="V12" i="3"/>
  <c r="W12" i="3" s="1"/>
  <c r="V11" i="3"/>
  <c r="AA22" i="16" l="1"/>
  <c r="AA21" i="16"/>
  <c r="Z18" i="16"/>
  <c r="AA17" i="16"/>
  <c r="AA16" i="16"/>
  <c r="Z13" i="16"/>
  <c r="AA12" i="16"/>
  <c r="AA11" i="16"/>
  <c r="Z19" i="16" l="1"/>
  <c r="AA18" i="16"/>
  <c r="AA13" i="16"/>
  <c r="AA48" i="1"/>
  <c r="AA62" i="1"/>
  <c r="AA61" i="1"/>
  <c r="AA60" i="1"/>
  <c r="AA51" i="1"/>
  <c r="AA50" i="1"/>
  <c r="AA49" i="1"/>
  <c r="AA47" i="1"/>
  <c r="AA40" i="1"/>
  <c r="AA39" i="1"/>
  <c r="AA38" i="1"/>
  <c r="AA35" i="1"/>
  <c r="AA41" i="1" s="1"/>
  <c r="AA42" i="1" s="1"/>
  <c r="AA31" i="1"/>
  <c r="AA28" i="1"/>
  <c r="AA29" i="1" s="1"/>
  <c r="AA24" i="1"/>
  <c r="AA17" i="1"/>
  <c r="AA16" i="1"/>
  <c r="AA15" i="1"/>
  <c r="AA10" i="1"/>
  <c r="Z60" i="1"/>
  <c r="Z51" i="1"/>
  <c r="Z62" i="1" s="1"/>
  <c r="Z50" i="1"/>
  <c r="Z61" i="1" s="1"/>
  <c r="Z48" i="1"/>
  <c r="Z59" i="1" s="1"/>
  <c r="AA59" i="1" s="1"/>
  <c r="Z47" i="1"/>
  <c r="Z58" i="1" s="1"/>
  <c r="AA58" i="1" s="1"/>
  <c r="Z35" i="1"/>
  <c r="Z41" i="1" s="1"/>
  <c r="Z42" i="1" s="1"/>
  <c r="Z28" i="1"/>
  <c r="Z29" i="1" s="1"/>
  <c r="Z21" i="1"/>
  <c r="Z25" i="1" s="1"/>
  <c r="Z26" i="1" s="1"/>
  <c r="Z10" i="1"/>
  <c r="W70" i="20"/>
  <c r="W60" i="20"/>
  <c r="W59" i="20"/>
  <c r="W58" i="20"/>
  <c r="W57" i="20"/>
  <c r="W52" i="20"/>
  <c r="W50" i="20"/>
  <c r="W53" i="20" s="1"/>
  <c r="W49" i="20"/>
  <c r="W33" i="20"/>
  <c r="W29" i="20"/>
  <c r="W25" i="20"/>
  <c r="W19" i="20"/>
  <c r="W18" i="20"/>
  <c r="W17" i="20"/>
  <c r="W16" i="20"/>
  <c r="W11" i="20"/>
  <c r="W9" i="20"/>
  <c r="V66" i="20"/>
  <c r="W66" i="20" s="1"/>
  <c r="V61" i="20"/>
  <c r="V53" i="20"/>
  <c r="V54" i="20" s="1"/>
  <c r="V20" i="20"/>
  <c r="V12" i="20"/>
  <c r="V13" i="20" s="1"/>
  <c r="W61" i="20" l="1"/>
  <c r="W63" i="20" s="1"/>
  <c r="V63" i="20"/>
  <c r="AA25" i="1"/>
  <c r="AA26" i="1" s="1"/>
  <c r="AA21" i="1"/>
  <c r="AA22" i="1" s="1"/>
  <c r="Z12" i="1"/>
  <c r="W12" i="20"/>
  <c r="W13" i="20" s="1"/>
  <c r="AA19" i="16"/>
  <c r="AA36" i="1"/>
  <c r="Z32" i="1"/>
  <c r="Z36" i="1"/>
  <c r="Z18" i="1"/>
  <c r="Z22" i="1"/>
  <c r="W20" i="20"/>
  <c r="V22" i="20"/>
  <c r="W54" i="20"/>
  <c r="V68" i="20"/>
  <c r="V72" i="20" s="1"/>
  <c r="V74" i="20" s="1"/>
  <c r="V64" i="20"/>
  <c r="Y18" i="16"/>
  <c r="W22" i="20" l="1"/>
  <c r="W23" i="20" s="1"/>
  <c r="V23" i="20"/>
  <c r="Z44" i="1"/>
  <c r="Z13" i="1"/>
  <c r="AA12" i="1"/>
  <c r="AA13" i="1" s="1"/>
  <c r="Z33" i="1"/>
  <c r="AA32" i="1"/>
  <c r="AA33" i="1" s="1"/>
  <c r="Z19" i="1"/>
  <c r="AA18" i="1"/>
  <c r="AA19" i="1" s="1"/>
  <c r="V27" i="20"/>
  <c r="W68" i="20"/>
  <c r="W72" i="20" s="1"/>
  <c r="W64" i="20"/>
  <c r="Q33" i="19"/>
  <c r="L33" i="19"/>
  <c r="G33" i="19"/>
  <c r="W27" i="20" l="1"/>
  <c r="W31" i="20" s="1"/>
  <c r="W35" i="20" s="1"/>
  <c r="AA44" i="1"/>
  <c r="Z45" i="1"/>
  <c r="Z52" i="1"/>
  <c r="Z53" i="1" s="1"/>
  <c r="V31" i="20"/>
  <c r="V10" i="4"/>
  <c r="Z55" i="1"/>
  <c r="R50" i="17"/>
  <c r="R38" i="17"/>
  <c r="R20" i="17"/>
  <c r="R16" i="17"/>
  <c r="T50" i="19"/>
  <c r="T44" i="19"/>
  <c r="T35" i="19"/>
  <c r="T25" i="19"/>
  <c r="U23" i="4"/>
  <c r="U21" i="4"/>
  <c r="U20" i="4"/>
  <c r="U19" i="4"/>
  <c r="U24" i="4" s="1"/>
  <c r="U11" i="4"/>
  <c r="AA52" i="1" l="1"/>
  <c r="AA53" i="1" s="1"/>
  <c r="AA45" i="1"/>
  <c r="V27" i="4"/>
  <c r="W10" i="4"/>
  <c r="W12" i="4" s="1"/>
  <c r="V12" i="4"/>
  <c r="AA55" i="1"/>
  <c r="AA63" i="1" s="1"/>
  <c r="AA64" i="1" s="1"/>
  <c r="Z63" i="1"/>
  <c r="Z64" i="1" s="1"/>
  <c r="V35" i="20"/>
  <c r="V10" i="3"/>
  <c r="R51" i="17"/>
  <c r="R26" i="17"/>
  <c r="T54" i="19"/>
  <c r="U19" i="3"/>
  <c r="U18" i="3"/>
  <c r="U12" i="3"/>
  <c r="U11" i="3"/>
  <c r="Y13" i="16"/>
  <c r="Y60" i="1"/>
  <c r="Y51" i="1"/>
  <c r="Y62" i="1" s="1"/>
  <c r="Y50" i="1"/>
  <c r="Y61" i="1" s="1"/>
  <c r="Y48" i="1"/>
  <c r="Y59" i="1" s="1"/>
  <c r="Y47" i="1"/>
  <c r="Y58" i="1" s="1"/>
  <c r="Y35" i="1"/>
  <c r="Y41" i="1" s="1"/>
  <c r="Y42" i="1" s="1"/>
  <c r="Y28" i="1"/>
  <c r="Y32" i="1" s="1"/>
  <c r="Y33" i="1" s="1"/>
  <c r="Y21" i="1"/>
  <c r="Y25" i="1" s="1"/>
  <c r="Y26" i="1" s="1"/>
  <c r="Y12" i="1"/>
  <c r="Y18" i="1" s="1"/>
  <c r="Y19" i="1" s="1"/>
  <c r="Y10" i="1"/>
  <c r="U66" i="20"/>
  <c r="U61" i="20"/>
  <c r="U53" i="20"/>
  <c r="U22" i="20"/>
  <c r="U23" i="20" s="1"/>
  <c r="U20" i="20"/>
  <c r="U13" i="20"/>
  <c r="U12" i="20"/>
  <c r="V29" i="4" l="1"/>
  <c r="W27" i="4"/>
  <c r="W29" i="4" s="1"/>
  <c r="V13" i="3"/>
  <c r="V15" i="3" s="1"/>
  <c r="V22" i="3" s="1"/>
  <c r="W10" i="3"/>
  <c r="W13" i="3" s="1"/>
  <c r="W15" i="3" s="1"/>
  <c r="W22" i="3" s="1"/>
  <c r="V39" i="20"/>
  <c r="V37" i="20"/>
  <c r="V16" i="4" s="1"/>
  <c r="V15" i="4" s="1"/>
  <c r="Y44" i="1"/>
  <c r="Y52" i="1" s="1"/>
  <c r="Y53" i="1" s="1"/>
  <c r="U27" i="20"/>
  <c r="Y19" i="16"/>
  <c r="Y13" i="1"/>
  <c r="Y29" i="1"/>
  <c r="Y36" i="1"/>
  <c r="Y45" i="1"/>
  <c r="Y22" i="1"/>
  <c r="U63" i="20"/>
  <c r="U64" i="20" s="1"/>
  <c r="U54" i="20"/>
  <c r="V32" i="4" l="1"/>
  <c r="V33" i="4"/>
  <c r="U68" i="20"/>
  <c r="U72" i="20" s="1"/>
  <c r="U74" i="20" s="1"/>
  <c r="U10" i="4"/>
  <c r="Y55" i="1"/>
  <c r="Y63" i="1" s="1"/>
  <c r="Y64" i="1" s="1"/>
  <c r="U31" i="20"/>
  <c r="R27" i="20"/>
  <c r="Q20" i="20"/>
  <c r="R29" i="20"/>
  <c r="R25" i="20"/>
  <c r="R60" i="20"/>
  <c r="S61" i="20"/>
  <c r="R70" i="20"/>
  <c r="R66" i="20"/>
  <c r="R59" i="20"/>
  <c r="R58" i="20"/>
  <c r="R57" i="20"/>
  <c r="U35" i="20" l="1"/>
  <c r="U10" i="3"/>
  <c r="U13" i="3" s="1"/>
  <c r="U15" i="3" s="1"/>
  <c r="U22" i="3" s="1"/>
  <c r="U12" i="4"/>
  <c r="U27" i="4"/>
  <c r="U29" i="4" s="1"/>
  <c r="R61" i="20"/>
  <c r="U37" i="20" l="1"/>
  <c r="U16" i="4" s="1"/>
  <c r="U15" i="4" s="1"/>
  <c r="U39" i="20"/>
  <c r="U33" i="4"/>
  <c r="U32" i="4"/>
  <c r="R52" i="20"/>
  <c r="R50" i="20"/>
  <c r="R19" i="20"/>
  <c r="R18" i="20"/>
  <c r="R16" i="20"/>
  <c r="T20" i="20"/>
  <c r="T61" i="20"/>
  <c r="S12" i="20"/>
  <c r="Q50" i="17" l="1"/>
  <c r="Q38" i="17"/>
  <c r="Q51" i="17" s="1"/>
  <c r="Q20" i="17"/>
  <c r="Q16" i="17"/>
  <c r="Q26" i="17" l="1"/>
  <c r="R33" i="20" l="1"/>
  <c r="R17" i="20"/>
  <c r="R20" i="20" s="1"/>
  <c r="R11" i="20"/>
  <c r="R9" i="20"/>
  <c r="T66" i="20" l="1"/>
  <c r="S28" i="4" l="1"/>
  <c r="P50" i="17" l="1"/>
  <c r="P38" i="17"/>
  <c r="P20" i="17"/>
  <c r="P16" i="17"/>
  <c r="P26" i="17" s="1"/>
  <c r="S50" i="19"/>
  <c r="R50" i="19"/>
  <c r="S44" i="19"/>
  <c r="R44" i="19"/>
  <c r="S35" i="19"/>
  <c r="R35" i="19"/>
  <c r="S25" i="19"/>
  <c r="R25" i="19"/>
  <c r="T21" i="4"/>
  <c r="S21" i="4"/>
  <c r="T11" i="4"/>
  <c r="S11" i="4"/>
  <c r="T12" i="3"/>
  <c r="S12" i="3"/>
  <c r="T11" i="3"/>
  <c r="S11" i="3"/>
  <c r="P51" i="17" l="1"/>
  <c r="S54" i="19"/>
  <c r="R54" i="19"/>
  <c r="X18" i="16"/>
  <c r="X13" i="16"/>
  <c r="W13" i="16"/>
  <c r="X60" i="1"/>
  <c r="T19" i="3" s="1"/>
  <c r="W60" i="1"/>
  <c r="X51" i="1"/>
  <c r="W51" i="1"/>
  <c r="S23" i="4" s="1"/>
  <c r="X50" i="1"/>
  <c r="X61" i="1" s="1"/>
  <c r="W50" i="1"/>
  <c r="S22" i="4" s="1"/>
  <c r="X48" i="1"/>
  <c r="W48" i="1"/>
  <c r="X47" i="1"/>
  <c r="W47" i="1"/>
  <c r="X35" i="1"/>
  <c r="X41" i="1" s="1"/>
  <c r="W35" i="1"/>
  <c r="W41" i="1" s="1"/>
  <c r="X28" i="1"/>
  <c r="X32" i="1" s="1"/>
  <c r="W28" i="1"/>
  <c r="X21" i="1"/>
  <c r="X25" i="1" s="1"/>
  <c r="W21" i="1"/>
  <c r="X10" i="1"/>
  <c r="W10" i="1"/>
  <c r="T53" i="20"/>
  <c r="T54" i="20" s="1"/>
  <c r="S53" i="20"/>
  <c r="S54" i="20" s="1"/>
  <c r="S20" i="20"/>
  <c r="T12" i="20"/>
  <c r="W12" i="1"/>
  <c r="W18" i="1" s="1"/>
  <c r="T13" i="20" l="1"/>
  <c r="T22" i="20"/>
  <c r="T23" i="20" s="1"/>
  <c r="W58" i="1"/>
  <c r="S19" i="4"/>
  <c r="W59" i="1"/>
  <c r="S20" i="4"/>
  <c r="X19" i="16"/>
  <c r="X62" i="1"/>
  <c r="T23" i="4"/>
  <c r="X59" i="1"/>
  <c r="T18" i="3"/>
  <c r="T20" i="4"/>
  <c r="X58" i="1"/>
  <c r="T19" i="4"/>
  <c r="X22" i="1"/>
  <c r="W19" i="1"/>
  <c r="W29" i="1"/>
  <c r="W13" i="1"/>
  <c r="W42" i="1"/>
  <c r="W22" i="1"/>
  <c r="W25" i="1"/>
  <c r="X12" i="1"/>
  <c r="X18" i="1" s="1"/>
  <c r="X19" i="1" s="1"/>
  <c r="X26" i="1"/>
  <c r="X33" i="1"/>
  <c r="X42" i="1"/>
  <c r="W18" i="16"/>
  <c r="W19" i="16" s="1"/>
  <c r="W61" i="1"/>
  <c r="W62" i="1"/>
  <c r="W32" i="1"/>
  <c r="X36" i="1"/>
  <c r="X29" i="1"/>
  <c r="W36" i="1"/>
  <c r="S63" i="20"/>
  <c r="S68" i="20" s="1"/>
  <c r="S72" i="20" s="1"/>
  <c r="S74" i="20" s="1"/>
  <c r="T63" i="20"/>
  <c r="T68" i="20" s="1"/>
  <c r="T72" i="20" s="1"/>
  <c r="T74" i="20" s="1"/>
  <c r="S22" i="20"/>
  <c r="W44" i="1" s="1"/>
  <c r="W52" i="1" s="1"/>
  <c r="W53" i="1" s="1"/>
  <c r="S13" i="20"/>
  <c r="S64" i="20" l="1"/>
  <c r="S24" i="4"/>
  <c r="T24" i="4"/>
  <c r="W26" i="1"/>
  <c r="S23" i="20"/>
  <c r="W45" i="1"/>
  <c r="S27" i="20"/>
  <c r="W55" i="1" s="1"/>
  <c r="X13" i="1"/>
  <c r="T64" i="20"/>
  <c r="T27" i="20"/>
  <c r="X44" i="1"/>
  <c r="W33" i="1"/>
  <c r="J20" i="17"/>
  <c r="J26" i="17" s="1"/>
  <c r="S31" i="20" l="1"/>
  <c r="S35" i="20" s="1"/>
  <c r="S10" i="4"/>
  <c r="S12" i="4" s="1"/>
  <c r="X52" i="1"/>
  <c r="X53" i="1" s="1"/>
  <c r="X45" i="1"/>
  <c r="T31" i="20"/>
  <c r="T10" i="4"/>
  <c r="X55" i="1"/>
  <c r="X63" i="1" s="1"/>
  <c r="X64" i="1" s="1"/>
  <c r="W63" i="1"/>
  <c r="W64" i="1" s="1"/>
  <c r="Q28" i="4"/>
  <c r="S10" i="3" l="1"/>
  <c r="S13" i="3" s="1"/>
  <c r="S15" i="3" s="1"/>
  <c r="S22" i="3" s="1"/>
  <c r="S39" i="20"/>
  <c r="S37" i="20"/>
  <c r="S16" i="4" s="1"/>
  <c r="S15" i="4" s="1"/>
  <c r="S27" i="4"/>
  <c r="S29" i="4" s="1"/>
  <c r="T27" i="4"/>
  <c r="T29" i="4" s="1"/>
  <c r="T12" i="4"/>
  <c r="T35" i="20"/>
  <c r="T10" i="3"/>
  <c r="T13" i="3" s="1"/>
  <c r="T15" i="3" s="1"/>
  <c r="T22" i="3" s="1"/>
  <c r="V17" i="16"/>
  <c r="V16" i="16"/>
  <c r="T37" i="20" l="1"/>
  <c r="T16" i="4" s="1"/>
  <c r="T15" i="4" s="1"/>
  <c r="T39" i="20"/>
  <c r="T32" i="4"/>
  <c r="T33" i="4"/>
  <c r="S32" i="4"/>
  <c r="S33" i="4"/>
  <c r="K50" i="17"/>
  <c r="O50" i="17"/>
  <c r="K38" i="17"/>
  <c r="O38" i="17"/>
  <c r="K20" i="17"/>
  <c r="K16" i="17"/>
  <c r="K26" i="17" s="1"/>
  <c r="O20" i="17"/>
  <c r="O16" i="17"/>
  <c r="Q52" i="19"/>
  <c r="P50" i="19"/>
  <c r="Q49" i="19"/>
  <c r="Q48" i="19"/>
  <c r="Q47" i="19"/>
  <c r="P44" i="19"/>
  <c r="Q43" i="19"/>
  <c r="Q42" i="19"/>
  <c r="Q41" i="19"/>
  <c r="Q40" i="19"/>
  <c r="Q39" i="19"/>
  <c r="Q38" i="19"/>
  <c r="P35" i="19"/>
  <c r="Q34" i="19"/>
  <c r="Q32" i="19"/>
  <c r="Q31" i="19"/>
  <c r="Q30" i="19"/>
  <c r="Q29" i="19"/>
  <c r="Q28" i="19"/>
  <c r="P25" i="19"/>
  <c r="Q24" i="19"/>
  <c r="Q23" i="19"/>
  <c r="Q22" i="19"/>
  <c r="Q21" i="19"/>
  <c r="Q20" i="19"/>
  <c r="Q19" i="19"/>
  <c r="Q17" i="19"/>
  <c r="Q16" i="19"/>
  <c r="Q15" i="19"/>
  <c r="Q14" i="19"/>
  <c r="Q13" i="19"/>
  <c r="Q12" i="19"/>
  <c r="Q10" i="19"/>
  <c r="Q9" i="19"/>
  <c r="Q21" i="4"/>
  <c r="R28" i="4"/>
  <c r="R22" i="4"/>
  <c r="R21" i="3"/>
  <c r="R20" i="3"/>
  <c r="R14" i="3"/>
  <c r="Q12" i="3"/>
  <c r="Q11" i="3"/>
  <c r="P54" i="19" l="1"/>
  <c r="O26" i="17"/>
  <c r="O51" i="17"/>
  <c r="K51" i="17"/>
  <c r="Q11" i="4"/>
  <c r="Q50" i="19"/>
  <c r="Q44" i="19"/>
  <c r="Q35" i="19"/>
  <c r="Q25"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U62" i="1" l="1"/>
  <c r="Q23" i="4"/>
  <c r="Q24" i="4" s="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U18" i="1"/>
  <c r="U19" i="1" s="1"/>
  <c r="U13" i="1"/>
  <c r="Q27" i="20"/>
  <c r="U44" i="1"/>
  <c r="Q68" i="20"/>
  <c r="Q72" i="20" s="1"/>
  <c r="Q64" i="20"/>
  <c r="N50" i="17"/>
  <c r="N38" i="17"/>
  <c r="N20" i="17"/>
  <c r="N16" i="17"/>
  <c r="N26" i="17" s="1"/>
  <c r="O50" i="19"/>
  <c r="O44" i="19"/>
  <c r="O35" i="19"/>
  <c r="O25"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R31" i="20" l="1"/>
  <c r="R35" i="20" s="1"/>
  <c r="P19" i="4"/>
  <c r="R23" i="20"/>
  <c r="T12" i="1"/>
  <c r="T18" i="1" s="1"/>
  <c r="T19" i="1" s="1"/>
  <c r="R64" i="20"/>
  <c r="Q31" i="20"/>
  <c r="U55" i="1"/>
  <c r="U52" i="1"/>
  <c r="U53" i="1" s="1"/>
  <c r="U45" i="1"/>
  <c r="N51" i="17"/>
  <c r="O54" i="19"/>
  <c r="P23" i="4"/>
  <c r="P18" i="3"/>
  <c r="P20" i="4"/>
  <c r="P63" i="20"/>
  <c r="P68" i="20" s="1"/>
  <c r="P72" i="20" s="1"/>
  <c r="P22" i="20"/>
  <c r="P27" i="20" s="1"/>
  <c r="P31" i="20" s="1"/>
  <c r="P35" i="20" s="1"/>
  <c r="T26" i="1"/>
  <c r="T33" i="1"/>
  <c r="T42" i="1"/>
  <c r="T19" i="16"/>
  <c r="T22" i="1"/>
  <c r="T29" i="1"/>
  <c r="T36" i="1"/>
  <c r="P24" i="4" l="1"/>
  <c r="T13" i="1"/>
  <c r="P39" i="20"/>
  <c r="P37" i="20"/>
  <c r="P16" i="4" s="1"/>
  <c r="P15" i="4" s="1"/>
  <c r="P64" i="20"/>
  <c r="P23" i="20"/>
  <c r="Q10" i="4"/>
  <c r="U63" i="1"/>
  <c r="U64" i="1" s="1"/>
  <c r="Q35" i="20"/>
  <c r="Q37" i="20" s="1"/>
  <c r="Q16" i="4" s="1"/>
  <c r="Q15" i="4" s="1"/>
  <c r="Q10" i="3"/>
  <c r="Q13" i="3" s="1"/>
  <c r="Q15" i="3" s="1"/>
  <c r="Q22" i="3" s="1"/>
  <c r="P10" i="3"/>
  <c r="P13" i="3" s="1"/>
  <c r="P15" i="3" s="1"/>
  <c r="P22" i="3" s="1"/>
  <c r="T55" i="1"/>
  <c r="T63" i="1" s="1"/>
  <c r="T64" i="1" s="1"/>
  <c r="P10" i="4"/>
  <c r="P12" i="4" s="1"/>
  <c r="T44" i="1"/>
  <c r="L31" i="19"/>
  <c r="G31" i="19"/>
  <c r="Q27" i="4" l="1"/>
  <c r="Q29" i="4" s="1"/>
  <c r="Q12" i="4"/>
  <c r="P27" i="4"/>
  <c r="P29" i="4" s="1"/>
  <c r="P33" i="4" s="1"/>
  <c r="T52" i="1"/>
  <c r="T53" i="1" s="1"/>
  <c r="T45" i="1"/>
  <c r="M50" i="17"/>
  <c r="L50" i="17"/>
  <c r="M38" i="17"/>
  <c r="L38" i="17"/>
  <c r="H25" i="17"/>
  <c r="G25" i="17"/>
  <c r="F25" i="17"/>
  <c r="E25" i="17"/>
  <c r="D25" i="17"/>
  <c r="C25" i="17"/>
  <c r="M20" i="17"/>
  <c r="L20" i="17"/>
  <c r="M16" i="17"/>
  <c r="L16" i="17"/>
  <c r="N50" i="19"/>
  <c r="M50" i="19"/>
  <c r="N44" i="19"/>
  <c r="M44" i="19"/>
  <c r="N35" i="19"/>
  <c r="M35" i="19"/>
  <c r="N25" i="19"/>
  <c r="M25"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K62" i="1"/>
  <c r="J62" i="1"/>
  <c r="I62" i="1"/>
  <c r="H62" i="1"/>
  <c r="K61"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H55" i="1"/>
  <c r="I55" i="1"/>
  <c r="J55" i="1"/>
  <c r="K55" i="1"/>
  <c r="M55" i="1"/>
  <c r="N55" i="1"/>
  <c r="O55" i="1"/>
  <c r="P55" i="1"/>
  <c r="S51" i="1"/>
  <c r="S62" i="1" s="1"/>
  <c r="R51" i="1"/>
  <c r="S50" i="1"/>
  <c r="S61" i="1" s="1"/>
  <c r="R50" i="1"/>
  <c r="N21" i="4"/>
  <c r="R21" i="4" s="1"/>
  <c r="S48" i="1"/>
  <c r="R48" i="1"/>
  <c r="L47" i="1"/>
  <c r="H47" i="1"/>
  <c r="H52" i="1" s="1"/>
  <c r="I47" i="1"/>
  <c r="I52" i="1" s="1"/>
  <c r="J47" i="1"/>
  <c r="J58" i="1" s="1"/>
  <c r="K47" i="1"/>
  <c r="K52" i="1" s="1"/>
  <c r="M47" i="1"/>
  <c r="M58" i="1" s="1"/>
  <c r="N47" i="1"/>
  <c r="N58" i="1" s="1"/>
  <c r="O47" i="1"/>
  <c r="O52" i="1" s="1"/>
  <c r="S47" i="1"/>
  <c r="O19" i="4" s="1"/>
  <c r="R47" i="1"/>
  <c r="V13" i="16" l="1"/>
  <c r="V19" i="16" s="1"/>
  <c r="S59" i="1"/>
  <c r="O18" i="3"/>
  <c r="R18" i="3" s="1"/>
  <c r="R61" i="1"/>
  <c r="V61" i="1" s="1"/>
  <c r="V50" i="1"/>
  <c r="R59" i="1"/>
  <c r="V59" i="1" s="1"/>
  <c r="V48" i="1"/>
  <c r="R62" i="1"/>
  <c r="V62" i="1" s="1"/>
  <c r="V51" i="1"/>
  <c r="M54" i="19"/>
  <c r="L26" i="17"/>
  <c r="N19" i="4"/>
  <c r="R19" i="4" s="1"/>
  <c r="V47" i="1"/>
  <c r="M26" i="17"/>
  <c r="S19" i="16"/>
  <c r="L51" i="17"/>
  <c r="R11" i="3"/>
  <c r="Q32" i="4"/>
  <c r="Q33" i="4"/>
  <c r="P32" i="4"/>
  <c r="R12" i="3"/>
  <c r="R11" i="4"/>
  <c r="M51" i="17"/>
  <c r="N54" i="19"/>
  <c r="R58" i="1"/>
  <c r="M52" i="1"/>
  <c r="H58" i="1"/>
  <c r="O20" i="4"/>
  <c r="N52" i="1"/>
  <c r="I58" i="1"/>
  <c r="S58" i="1"/>
  <c r="K58" i="1"/>
  <c r="J52" i="1"/>
  <c r="O58" i="1"/>
  <c r="R18" i="16"/>
  <c r="N20" i="4"/>
  <c r="R20" i="4" s="1"/>
  <c r="N23" i="4"/>
  <c r="O23" i="4"/>
  <c r="O24" i="4" s="1"/>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V58" i="1" l="1"/>
  <c r="R23" i="4"/>
  <c r="R24" i="4"/>
  <c r="M56" i="19"/>
  <c r="N55" i="19" s="1"/>
  <c r="N56" i="19" s="1"/>
  <c r="O55" i="19" s="1"/>
  <c r="O56" i="19" s="1"/>
  <c r="P55" i="19" s="1"/>
  <c r="P56" i="19" s="1"/>
  <c r="R55" i="19" s="1"/>
  <c r="R56" i="19" s="1"/>
  <c r="S55" i="19" s="1"/>
  <c r="S56" i="19" s="1"/>
  <c r="T55" i="19" s="1"/>
  <c r="T56" i="19" s="1"/>
  <c r="Q54"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N24" i="4"/>
  <c r="S42" i="1"/>
  <c r="R36" i="1"/>
  <c r="R22" i="1"/>
  <c r="N63" i="20"/>
  <c r="N64" i="20" s="1"/>
  <c r="O22" i="20"/>
  <c r="O23" i="20" s="1"/>
  <c r="N13" i="20"/>
  <c r="N54" i="20"/>
  <c r="O54" i="20"/>
  <c r="E56" i="19"/>
  <c r="O68" i="20" l="1"/>
  <c r="O72" i="20" s="1"/>
  <c r="O74" i="20" s="1"/>
  <c r="V29" i="1"/>
  <c r="V22" i="1"/>
  <c r="V13" i="1"/>
  <c r="V36" i="1"/>
  <c r="V41" i="1"/>
  <c r="V42" i="1" s="1"/>
  <c r="R19" i="1"/>
  <c r="R26" i="1"/>
  <c r="V25" i="1"/>
  <c r="V32" i="1"/>
  <c r="V33" i="1" s="1"/>
  <c r="N23" i="20"/>
  <c r="N27" i="20"/>
  <c r="N10" i="4" s="1"/>
  <c r="S18" i="1"/>
  <c r="V18" i="1" s="1"/>
  <c r="V19" i="1" s="1"/>
  <c r="S13" i="1"/>
  <c r="O27" i="20"/>
  <c r="S44" i="1"/>
  <c r="V44" i="1" s="1"/>
  <c r="R52" i="1"/>
  <c r="R53" i="1" s="1"/>
  <c r="R45" i="1"/>
  <c r="N68" i="20"/>
  <c r="N72" i="20" s="1"/>
  <c r="K56" i="19"/>
  <c r="J56" i="19"/>
  <c r="I56" i="19"/>
  <c r="H56" i="19"/>
  <c r="L54" i="19"/>
  <c r="L56" i="19" s="1"/>
  <c r="Q55" i="19" s="1"/>
  <c r="Q56" i="19" s="1"/>
  <c r="L52" i="19"/>
  <c r="L49" i="19"/>
  <c r="L48" i="19"/>
  <c r="L47" i="19"/>
  <c r="K50" i="19"/>
  <c r="J50" i="19"/>
  <c r="I50" i="19"/>
  <c r="H50" i="19"/>
  <c r="K44" i="19"/>
  <c r="J44" i="19"/>
  <c r="I44" i="19"/>
  <c r="H44" i="19"/>
  <c r="L43" i="19"/>
  <c r="L42" i="19"/>
  <c r="L41" i="19"/>
  <c r="L40" i="19"/>
  <c r="L39" i="19"/>
  <c r="L38" i="19"/>
  <c r="K35" i="19"/>
  <c r="J35" i="19"/>
  <c r="I35" i="19"/>
  <c r="H35" i="19"/>
  <c r="L34" i="19"/>
  <c r="L32" i="19"/>
  <c r="L30" i="19"/>
  <c r="L29" i="19"/>
  <c r="L28" i="19"/>
  <c r="K25" i="19"/>
  <c r="J25" i="19"/>
  <c r="I25" i="19"/>
  <c r="H25" i="19"/>
  <c r="L24" i="19"/>
  <c r="L23" i="19"/>
  <c r="L22" i="19"/>
  <c r="L21" i="19"/>
  <c r="L20" i="19"/>
  <c r="L19" i="19"/>
  <c r="L17" i="19"/>
  <c r="L16" i="19"/>
  <c r="L15" i="19"/>
  <c r="L14" i="19"/>
  <c r="L13" i="19"/>
  <c r="L12" i="19"/>
  <c r="L10" i="19"/>
  <c r="L9" i="19"/>
  <c r="D56" i="19"/>
  <c r="F56" i="19"/>
  <c r="D50" i="19"/>
  <c r="E50" i="19"/>
  <c r="F50" i="19"/>
  <c r="C50" i="19"/>
  <c r="D44" i="19"/>
  <c r="E44" i="19"/>
  <c r="F44" i="19"/>
  <c r="C44" i="19"/>
  <c r="D35" i="19"/>
  <c r="E35" i="19"/>
  <c r="F35" i="19"/>
  <c r="C35" i="19"/>
  <c r="D25" i="19"/>
  <c r="E25" i="19"/>
  <c r="F25" i="19"/>
  <c r="C25" i="19"/>
  <c r="G52" i="19"/>
  <c r="G48" i="19"/>
  <c r="G49" i="19"/>
  <c r="G47" i="19"/>
  <c r="G38" i="19"/>
  <c r="G39" i="19"/>
  <c r="G40" i="19"/>
  <c r="G41" i="19"/>
  <c r="G42" i="19"/>
  <c r="G43" i="19"/>
  <c r="G29" i="19"/>
  <c r="G30" i="19"/>
  <c r="G32" i="19"/>
  <c r="G34" i="19"/>
  <c r="G28" i="19"/>
  <c r="G13" i="19"/>
  <c r="G14" i="19"/>
  <c r="G15" i="19"/>
  <c r="G16" i="19"/>
  <c r="G17" i="19"/>
  <c r="G19" i="19"/>
  <c r="G20" i="19"/>
  <c r="G21" i="19"/>
  <c r="G22" i="19"/>
  <c r="G23" i="19"/>
  <c r="G24" i="19"/>
  <c r="G12" i="19"/>
  <c r="G10" i="19"/>
  <c r="G9" i="19"/>
  <c r="N31" i="20" l="1"/>
  <c r="N10" i="3" s="1"/>
  <c r="V45" i="1"/>
  <c r="V52" i="1"/>
  <c r="V53" i="1" s="1"/>
  <c r="R55" i="1"/>
  <c r="O31" i="20"/>
  <c r="O10" i="4"/>
  <c r="R10" i="4" s="1"/>
  <c r="R12" i="4" s="1"/>
  <c r="S55" i="1"/>
  <c r="S63" i="1" s="1"/>
  <c r="S64" i="1" s="1"/>
  <c r="S19" i="1"/>
  <c r="N12" i="4"/>
  <c r="N27" i="4"/>
  <c r="S52" i="1"/>
  <c r="S53" i="1" s="1"/>
  <c r="S45" i="1"/>
  <c r="L50" i="19"/>
  <c r="G50" i="19"/>
  <c r="G35" i="19"/>
  <c r="L35" i="19"/>
  <c r="C54" i="19"/>
  <c r="C56" i="19" s="1"/>
  <c r="L44" i="19"/>
  <c r="L25" i="19"/>
  <c r="G25" i="19"/>
  <c r="G44" i="19"/>
  <c r="N35" i="20" l="1"/>
  <c r="V55" i="1"/>
  <c r="V63" i="1" s="1"/>
  <c r="V64" i="1" s="1"/>
  <c r="R63" i="1"/>
  <c r="R64" i="1" s="1"/>
  <c r="O27" i="4"/>
  <c r="O29" i="4" s="1"/>
  <c r="O12" i="4"/>
  <c r="O35" i="20"/>
  <c r="O10" i="3"/>
  <c r="O13" i="3" s="1"/>
  <c r="O15" i="3" s="1"/>
  <c r="O22" i="3" s="1"/>
  <c r="N13" i="3"/>
  <c r="N15" i="3" s="1"/>
  <c r="N22" i="3" s="1"/>
  <c r="N29" i="4"/>
  <c r="G54" i="19"/>
  <c r="G56"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O39" i="20" l="1"/>
  <c r="O37" i="20"/>
  <c r="O16" i="4" s="1"/>
  <c r="O15" i="4" s="1"/>
  <c r="O33" i="4"/>
  <c r="O32" i="4"/>
  <c r="R27" i="4"/>
  <c r="R29" i="4" s="1"/>
  <c r="R10" i="3"/>
  <c r="R13" i="3" s="1"/>
  <c r="R15" i="3" s="1"/>
  <c r="R22" i="3" s="1"/>
  <c r="N33" i="4"/>
  <c r="N32" i="4"/>
  <c r="C22" i="3"/>
  <c r="G22" i="3"/>
  <c r="F22" i="3"/>
  <c r="E22" i="3"/>
  <c r="D22" i="3"/>
  <c r="L13" i="3"/>
  <c r="L15" i="3" s="1"/>
  <c r="K13" i="3"/>
  <c r="K15" i="3" s="1"/>
  <c r="J13" i="3"/>
  <c r="J15" i="3" s="1"/>
  <c r="I13" i="3"/>
  <c r="I15" i="3" s="1"/>
  <c r="R32" i="4" l="1"/>
  <c r="R33" i="4"/>
  <c r="O63" i="1"/>
  <c r="O64" i="1" s="1"/>
  <c r="N63" i="1"/>
  <c r="N64" i="1" s="1"/>
  <c r="M63" i="1"/>
  <c r="M64" i="1" s="1"/>
  <c r="K63" i="1"/>
  <c r="K64" i="1" s="1"/>
  <c r="J63" i="1"/>
  <c r="J64" i="1" s="1"/>
  <c r="I63" i="1"/>
  <c r="I64" i="1" s="1"/>
  <c r="H63" i="1"/>
  <c r="H64" i="1" s="1"/>
  <c r="C24" i="4"/>
  <c r="L24" i="4"/>
  <c r="K24" i="4"/>
  <c r="J24" i="4"/>
  <c r="I24" i="4"/>
  <c r="D24" i="4"/>
  <c r="E24" i="4"/>
  <c r="F24" i="4"/>
  <c r="G24" i="4"/>
  <c r="D12" i="4"/>
  <c r="E12" i="4"/>
  <c r="F12" i="4"/>
  <c r="G12" i="4"/>
  <c r="I12" i="4"/>
  <c r="J12" i="4"/>
  <c r="K12" i="4"/>
  <c r="C12" i="4"/>
  <c r="H33" i="4"/>
  <c r="D33" i="4"/>
  <c r="E33" i="4"/>
  <c r="F33" i="4"/>
  <c r="G33" i="4"/>
  <c r="I33" i="4"/>
  <c r="J33" i="4"/>
  <c r="K33" i="4"/>
  <c r="D32" i="4"/>
  <c r="E32" i="4"/>
  <c r="F32" i="4"/>
  <c r="G32" i="4"/>
  <c r="H32" i="4"/>
  <c r="I32" i="4"/>
  <c r="J32" i="4"/>
  <c r="K32" i="4"/>
  <c r="C29"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8" i="4"/>
  <c r="H13" i="3" l="1"/>
  <c r="H15" i="3" s="1"/>
  <c r="H22" i="3" s="1"/>
  <c r="L39" i="1"/>
  <c r="C33" i="4"/>
  <c r="C22" i="20"/>
  <c r="C23" i="20" s="1"/>
  <c r="Q12" i="1"/>
  <c r="M16" i="4" l="1"/>
  <c r="L16" i="4"/>
  <c r="K16" i="4"/>
  <c r="J16" i="4"/>
  <c r="I16" i="4"/>
  <c r="H16" i="4"/>
  <c r="G16" i="4"/>
  <c r="F16" i="4"/>
  <c r="E16" i="4"/>
  <c r="D16" i="4"/>
  <c r="H20" i="4"/>
  <c r="H21" i="4"/>
  <c r="H22" i="4"/>
  <c r="H19" i="4"/>
  <c r="H24"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36" i="1" l="1"/>
  <c r="L52" i="1"/>
  <c r="L53" i="1" s="1"/>
  <c r="L45" i="1"/>
  <c r="L13" i="1"/>
  <c r="L22" i="1"/>
  <c r="L33" i="1"/>
  <c r="L29" i="1"/>
  <c r="L41" i="1"/>
  <c r="L42" i="1" s="1"/>
  <c r="L63" i="1"/>
  <c r="L64"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3" i="4" l="1"/>
  <c r="M22" i="4"/>
  <c r="M21" i="4"/>
  <c r="M20" i="4"/>
  <c r="M19" i="4"/>
  <c r="L11" i="4"/>
  <c r="M11" i="4" s="1"/>
  <c r="L10" i="4"/>
  <c r="L12" i="4" s="1"/>
  <c r="M14" i="3"/>
  <c r="M12" i="3"/>
  <c r="M11" i="3"/>
  <c r="M10" i="3"/>
  <c r="L22" i="3"/>
  <c r="M24" i="4" l="1"/>
  <c r="M13" i="3"/>
  <c r="M15" i="3" s="1"/>
  <c r="M22" i="3" s="1"/>
  <c r="L27" i="4"/>
  <c r="M27" i="4" s="1"/>
  <c r="M10" i="4"/>
  <c r="M12" i="4" l="1"/>
  <c r="M29" i="4"/>
  <c r="M32" i="4" s="1"/>
  <c r="L29" i="4"/>
  <c r="Q55" i="1"/>
  <c r="Q44" i="1"/>
  <c r="Q35" i="1"/>
  <c r="Q36" i="1" s="1"/>
  <c r="Q28" i="1"/>
  <c r="Q49" i="1"/>
  <c r="Q31" i="1"/>
  <c r="Q24" i="1"/>
  <c r="Q21" i="1"/>
  <c r="Q60" i="1"/>
  <c r="P51" i="1"/>
  <c r="P62" i="1" s="1"/>
  <c r="P50" i="1"/>
  <c r="P48" i="1"/>
  <c r="P59" i="1" s="1"/>
  <c r="P47" i="1"/>
  <c r="P32" i="1"/>
  <c r="P33" i="1" s="1"/>
  <c r="P25" i="1"/>
  <c r="P18" i="1"/>
  <c r="Q17" i="1"/>
  <c r="M33" i="4" l="1"/>
  <c r="Q50" i="1"/>
  <c r="P61" i="1"/>
  <c r="Q61" i="1" s="1"/>
  <c r="P58" i="1"/>
  <c r="P52" i="1"/>
  <c r="P53" i="1" s="1"/>
  <c r="Q22" i="1"/>
  <c r="Q29" i="1"/>
  <c r="Q41" i="1"/>
  <c r="Q42" i="1" s="1"/>
  <c r="L32" i="4"/>
  <c r="L33" i="4"/>
  <c r="Q51" i="1"/>
  <c r="Q48" i="1"/>
  <c r="Q52" i="1" s="1"/>
  <c r="Q18" i="1"/>
  <c r="P19" i="1"/>
  <c r="P45" i="1"/>
  <c r="P26" i="1"/>
  <c r="Q25" i="1"/>
  <c r="Q32" i="1"/>
  <c r="Q33" i="1" s="1"/>
  <c r="P63" i="1" l="1"/>
  <c r="P64" i="1" s="1"/>
  <c r="Q62" i="1"/>
  <c r="Q59" i="1"/>
  <c r="Q53" i="1"/>
  <c r="Q58" i="1"/>
  <c r="Q19" i="1"/>
  <c r="Q45" i="1"/>
  <c r="Q13" i="1"/>
  <c r="G63" i="1"/>
  <c r="G64" i="1" s="1"/>
  <c r="G47" i="1"/>
  <c r="G52" i="1" s="1"/>
  <c r="G53" i="1" s="1"/>
  <c r="Q63" i="1" l="1"/>
  <c r="Q64" i="1" s="1"/>
</calcChain>
</file>

<file path=xl/sharedStrings.xml><?xml version="1.0" encoding="utf-8"?>
<sst xmlns="http://schemas.openxmlformats.org/spreadsheetml/2006/main" count="424" uniqueCount="213">
  <si>
    <t>% of Revenue</t>
  </si>
  <si>
    <t>Excluded items:</t>
  </si>
  <si>
    <t>Gross Profit - Non-GAAP</t>
  </si>
  <si>
    <t>R&amp;D - Non-GAAP</t>
  </si>
  <si>
    <t>S&amp;M - Non-GAAP</t>
  </si>
  <si>
    <t>G&amp;A - Non-GAAP</t>
  </si>
  <si>
    <t>Income taxes (benefit)</t>
  </si>
  <si>
    <t>Other income (expense)</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</si>
  <si>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</si>
  <si>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</si>
  <si>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</si>
  <si>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</si>
  <si>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</si>
  <si>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</si>
  <si>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</si>
  <si>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</si>
  <si>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</si>
  <si>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</si>
  <si>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</si>
  <si>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</si>
  <si>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 xml:space="preserve">   Loss from continuing operations before income taxes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</si>
  <si>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</si>
  <si>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</si>
  <si>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</si>
  <si>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</si>
  <si>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</si>
  <si>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</si>
  <si>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</si>
  <si>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</si>
  <si>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</si>
  <si>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</si>
  <si>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</si>
  <si>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</si>
  <si>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</si>
  <si>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</si>
  <si>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</si>
  <si>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</si>
  <si>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</si>
  <si>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</si>
  <si>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</si>
  <si>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</si>
  <si>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</si>
  <si>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Loss from continuing ops before tax (GAAP)</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</si>
  <si>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</si>
  <si>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</si>
  <si>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</si>
  <si>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</si>
  <si>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</si>
  <si>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</si>
  <si>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</si>
  <si>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</si>
  <si>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</si>
  <si>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</si>
  <si>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</si>
  <si>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</si>
  <si>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</si>
  <si>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</si>
  <si>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</si>
  <si>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</si>
  <si>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</si>
  <si>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</si>
  <si>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</si>
  <si>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</si>
  <si>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</si>
  <si>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</si>
  <si>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</si>
  <si>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</si>
  <si>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</si>
  <si>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</si>
  <si>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</si>
  <si>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</si>
  <si>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</si>
  <si>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</si>
  <si>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</si>
  <si>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</si>
  <si>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</si>
  <si>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</si>
  <si>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</si>
  <si>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</si>
  <si>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</si>
  <si>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</si>
  <si>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</si>
  <si>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</si>
  <si>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</si>
  <si>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</si>
  <si>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</si>
  <si>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</si>
  <si>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</si>
  <si>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</si>
  <si>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</si>
  <si>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</si>
  <si>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</si>
  <si>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</si>
  <si>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</si>
  <si>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</si>
  <si>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&amp; excluding items</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</si>
  <si>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</si>
  <si>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</si>
  <si>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</si>
  <si>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</si>
  <si>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</si>
  <si>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</si>
  <si>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</si>
  <si>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</si>
  <si>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</si>
  <si>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</si>
  <si>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</si>
  <si>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</si>
  <si>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</si>
  <si>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</si>
  <si>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</si>
  <si>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</si>
  <si>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</si>
  <si>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</si>
  <si>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</si>
  <si>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</si>
  <si>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</si>
  <si>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</si>
  <si>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</si>
  <si>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</si>
  <si>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</si>
  <si>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Non-GAAP earnings (loss) per share from cont. ops:</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</si>
  <si>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</si>
  <si>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</si>
  <si>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</si>
  <si>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</si>
  <si>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</si>
  <si>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</si>
  <si>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</si>
  <si>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</si>
  <si>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</si>
  <si>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</si>
  <si>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</si>
  <si>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</si>
  <si>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</si>
  <si>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</si>
  <si>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</si>
  <si>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</si>
  <si>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</si>
  <si>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Total other income (expense)</t>
  </si>
  <si>
    <t>Loss from continuing operations before income taxes</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</si>
  <si>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</si>
  <si>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</si>
  <si>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</si>
  <si>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</si>
  <si>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</si>
  <si>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</si>
  <si>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</si>
  <si>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</si>
  <si>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</si>
  <si>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</si>
  <si>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</si>
  <si>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</si>
  <si>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</si>
  <si>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</si>
  <si>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</si>
  <si>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</si>
  <si>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</si>
  <si>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</si>
  <si>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</si>
  <si>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</si>
  <si>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</si>
  <si>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</si>
  <si>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</si>
  <si>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</si>
  <si>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</si>
  <si>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</si>
  <si>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</si>
  <si>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</si>
  <si>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</si>
  <si>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</si>
  <si>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</si>
  <si>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</si>
  <si>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</si>
  <si>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</si>
  <si>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</si>
  <si>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</si>
  <si>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</si>
  <si>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</si>
  <si>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</si>
  <si>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</si>
  <si>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</si>
  <si>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</si>
  <si>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</si>
  <si>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</si>
  <si>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</si>
  <si>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</si>
  <si>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</si>
  <si>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</si>
  <si>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</si>
  <si>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</si>
  <si>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</si>
  <si>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</si>
  <si>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</si>
  <si>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</si>
  <si>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</si>
  <si>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</si>
  <si>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</si>
  <si>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</si>
  <si>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</si>
  <si>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</si>
  <si>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</si>
  <si>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</si>
  <si>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</si>
  <si>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</si>
  <si>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</si>
  <si>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</si>
  <si>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</si>
  <si>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</si>
  <si>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</si>
  <si>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LiveRamp Financial Data - FY17 to Q4 FY21</t>
  </si>
  <si>
    <t>FY 21</t>
  </si>
  <si>
    <t>Q4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</si>
</sst>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300">
    <xf numFmtId="0" fontId="0" fillId="0" borderId="0" xfId="0"/>
    <xf numFmtId="0" fontId="10" fillId="0" borderId="0" xfId="0" applyFont="1"/>
    <xf numFmtId="0" fontId="13" fillId="0" borderId="0" xfId="0" applyFont="1" applyFill="1" applyProtection="1">
      <protection locked="0"/>
    </xf>
    <xf numFmtId="0" fontId="14" fillId="0" borderId="0" xfId="9" applyFont="1"/>
    <xf numFmtId="0" fontId="14" fillId="0" borderId="0" xfId="9" applyFont="1" applyFill="1" applyProtection="1">
      <protection locked="0"/>
    </xf>
    <xf numFmtId="0" fontId="15" fillId="0" borderId="0" xfId="0" applyFont="1" applyFill="1"/>
    <xf numFmtId="0" fontId="10" fillId="0" borderId="0" xfId="0" applyFont="1" applyFill="1"/>
    <xf numFmtId="0" fontId="16" fillId="0" borderId="0" xfId="9" applyFont="1" applyAlignment="1">
      <alignment horizontal="left" vertical="top"/>
    </xf>
    <xf numFmtId="0" fontId="17" fillId="0" borderId="0" xfId="0" applyFont="1" applyFill="1" applyBorder="1"/>
    <xf numFmtId="0" fontId="10" fillId="0" borderId="0" xfId="0" applyFont="1" applyBorder="1"/>
    <xf numFmtId="0" fontId="10" fillId="0" borderId="0" xfId="0" applyFont="1" applyFill="1" applyBorder="1"/>
    <xf numFmtId="0" fontId="17" fillId="0" borderId="1" xfId="0" applyFont="1" applyFill="1" applyBorder="1"/>
    <xf numFmtId="0" fontId="10" fillId="0" borderId="1" xfId="0" applyFont="1" applyBorder="1"/>
    <xf numFmtId="0" fontId="10" fillId="0" borderId="1" xfId="0" applyFont="1" applyFill="1" applyBorder="1"/>
    <xf numFmtId="0" fontId="12" fillId="0" borderId="20" xfId="3" applyFont="1" applyFill="1" applyBorder="1"/>
    <xf numFmtId="170" fontId="13" fillId="0" borderId="20" xfId="3" applyNumberFormat="1" applyFont="1" applyFill="1" applyBorder="1" applyAlignment="1">
      <alignment horizontal="center"/>
    </xf>
    <xf numFmtId="0" fontId="12" fillId="0" borderId="0" xfId="0" applyFont="1"/>
    <xf numFmtId="42" fontId="12" fillId="0" borderId="0" xfId="3" applyNumberFormat="1" applyFont="1" applyFill="1" applyBorder="1"/>
    <xf numFmtId="0" fontId="12" fillId="0" borderId="0" xfId="3" applyFont="1" applyFill="1"/>
    <xf numFmtId="38" fontId="12" fillId="0" borderId="0" xfId="3" applyNumberFormat="1" applyFont="1" applyFill="1" applyBorder="1"/>
    <xf numFmtId="0" fontId="12" fillId="0" borderId="1" xfId="0" applyFont="1" applyBorder="1"/>
    <xf numFmtId="38" fontId="12" fillId="0" borderId="1" xfId="3" applyNumberFormat="1" applyFont="1" applyFill="1" applyBorder="1"/>
    <xf numFmtId="38" fontId="12" fillId="0" borderId="0" xfId="4" applyNumberFormat="1" applyFont="1" applyFill="1"/>
    <xf numFmtId="0" fontId="13" fillId="0" borderId="0" xfId="0" applyFont="1"/>
    <xf numFmtId="164" fontId="13" fillId="0" borderId="0" xfId="2" applyNumberFormat="1" applyFont="1" applyFill="1"/>
    <xf numFmtId="38" fontId="12" fillId="0" borderId="0" xfId="4" applyNumberFormat="1" applyFont="1" applyFill="1" applyBorder="1"/>
    <xf numFmtId="38" fontId="12" fillId="0" borderId="1" xfId="4" applyNumberFormat="1" applyFont="1" applyFill="1" applyBorder="1"/>
    <xf numFmtId="37" fontId="12" fillId="0" borderId="1" xfId="4" applyNumberFormat="1" applyFont="1" applyFill="1" applyBorder="1"/>
    <xf numFmtId="0" fontId="12" fillId="0" borderId="0" xfId="3" applyFont="1"/>
    <xf numFmtId="164" fontId="12" fillId="0" borderId="0" xfId="2" applyNumberFormat="1" applyFont="1" applyFill="1" applyBorder="1"/>
    <xf numFmtId="37" fontId="12" fillId="0" borderId="0" xfId="3" applyNumberFormat="1" applyFont="1" applyFill="1" applyBorder="1"/>
    <xf numFmtId="0" fontId="18" fillId="0" borderId="0" xfId="3" applyFont="1"/>
    <xf numFmtId="164" fontId="18" fillId="0" borderId="0" xfId="2" applyNumberFormat="1" applyFont="1" applyFill="1" applyBorder="1"/>
    <xf numFmtId="37" fontId="12" fillId="0" borderId="0" xfId="4" applyNumberFormat="1" applyFont="1" applyFill="1" applyBorder="1" applyAlignment="1">
      <alignment horizontal="right"/>
    </xf>
    <xf numFmtId="37" fontId="12" fillId="0" borderId="0" xfId="4" applyNumberFormat="1" applyFont="1" applyFill="1" applyBorder="1"/>
    <xf numFmtId="0" fontId="12" fillId="0" borderId="1" xfId="3" applyFont="1" applyBorder="1"/>
    <xf numFmtId="37" fontId="12" fillId="0" borderId="1" xfId="3" applyNumberFormat="1" applyFont="1" applyFill="1" applyBorder="1"/>
    <xf numFmtId="0" fontId="12" fillId="0" borderId="0" xfId="3"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Fill="1" applyBorder="1"/>
    <xf numFmtId="39" fontId="12" fillId="0" borderId="21" xfId="7" applyNumberFormat="1" applyFont="1" applyFill="1" applyBorder="1"/>
    <xf numFmtId="0" fontId="12" fillId="0" borderId="21" xfId="3" applyFont="1" applyBorder="1"/>
    <xf numFmtId="0" fontId="12" fillId="0" borderId="0" xfId="3" applyFont="1" applyFill="1" applyBorder="1"/>
    <xf numFmtId="0" fontId="12" fillId="0" borderId="20" xfId="3" applyFont="1" applyFill="1" applyBorder="1" applyAlignment="1">
      <alignment horizontal="left" indent="1"/>
    </xf>
    <xf numFmtId="38" fontId="12" fillId="0" borderId="1" xfId="4" applyNumberFormat="1" applyFont="1" applyFill="1" applyBorder="1" applyAlignment="1">
      <alignment horizontal="right"/>
    </xf>
    <xf numFmtId="0" fontId="10" fillId="3" borderId="0" xfId="0" applyFont="1" applyFill="1"/>
    <xf numFmtId="0" fontId="10" fillId="3" borderId="0" xfId="0" applyFont="1" applyFill="1" applyBorder="1"/>
    <xf numFmtId="0" fontId="13" fillId="0" borderId="0" xfId="0" applyFont="1" applyFill="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applyFill="1"/>
    <xf numFmtId="42" fontId="20" fillId="0" borderId="0" xfId="0" applyNumberFormat="1" applyFont="1" applyFill="1"/>
    <xf numFmtId="42" fontId="20" fillId="2" borderId="3" xfId="0" applyNumberFormat="1" applyFont="1" applyFill="1" applyBorder="1"/>
    <xf numFmtId="42" fontId="10" fillId="0" borderId="0" xfId="0" applyNumberFormat="1" applyFont="1" applyFill="1"/>
    <xf numFmtId="42" fontId="10" fillId="2" borderId="3" xfId="1" applyNumberFormat="1" applyFont="1" applyFill="1" applyBorder="1"/>
    <xf numFmtId="0" fontId="21" fillId="0" borderId="0" xfId="0" applyFont="1" applyFill="1"/>
    <xf numFmtId="164" fontId="21" fillId="2" borderId="3" xfId="2" applyNumberFormat="1" applyFont="1" applyFill="1" applyBorder="1"/>
    <xf numFmtId="164" fontId="21" fillId="0" borderId="0" xfId="2" applyNumberFormat="1" applyFont="1" applyFill="1"/>
    <xf numFmtId="0" fontId="10" fillId="0" borderId="0" xfId="0" applyFont="1" applyFill="1" applyAlignment="1">
      <alignment horizontal="left" indent="1"/>
    </xf>
    <xf numFmtId="165" fontId="10" fillId="2" borderId="3" xfId="1" applyNumberFormat="1" applyFont="1" applyFill="1" applyBorder="1"/>
    <xf numFmtId="0" fontId="12" fillId="0" borderId="0" xfId="3" applyFont="1" applyFill="1" applyBorder="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Fill="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Fill="1" applyBorder="1"/>
    <xf numFmtId="0" fontId="20" fillId="3" borderId="0" xfId="0" applyFont="1" applyFill="1"/>
    <xf numFmtId="0" fontId="20" fillId="0" borderId="0" xfId="0" applyFont="1"/>
    <xf numFmtId="0" fontId="21" fillId="0" borderId="0" xfId="0" applyFont="1" applyFill="1" applyBorder="1"/>
    <xf numFmtId="0" fontId="10" fillId="0" borderId="0" xfId="0" applyFont="1" applyFill="1" applyBorder="1" applyAlignment="1">
      <alignment horizontal="left" indent="1"/>
    </xf>
    <xf numFmtId="0" fontId="20" fillId="0" borderId="0" xfId="0" applyFont="1" applyFill="1" applyBorder="1"/>
    <xf numFmtId="42" fontId="20" fillId="0" borderId="0" xfId="0" applyNumberFormat="1" applyFont="1" applyFill="1" applyBorder="1"/>
    <xf numFmtId="0" fontId="20" fillId="3" borderId="0" xfId="0" applyFont="1" applyFill="1" applyBorder="1"/>
    <xf numFmtId="0" fontId="20" fillId="0" borderId="0" xfId="0" applyFont="1" applyBorder="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applyFill="1" applyBorder="1"/>
    <xf numFmtId="5" fontId="20" fillId="2" borderId="3" xfId="0" applyNumberFormat="1" applyFont="1" applyFill="1" applyBorder="1"/>
    <xf numFmtId="171" fontId="20" fillId="0" borderId="0" xfId="0" applyNumberFormat="1" applyFont="1" applyFill="1" applyBorder="1"/>
    <xf numFmtId="171" fontId="20" fillId="2" borderId="3" xfId="0" applyNumberFormat="1" applyFont="1" applyFill="1" applyBorder="1"/>
    <xf numFmtId="5" fontId="10" fillId="0" borderId="0" xfId="0" applyNumberFormat="1" applyFont="1" applyFill="1"/>
    <xf numFmtId="171" fontId="10" fillId="2" borderId="3" xfId="1" applyNumberFormat="1" applyFont="1" applyFill="1" applyBorder="1"/>
    <xf numFmtId="171" fontId="10" fillId="0" borderId="0" xfId="0" applyNumberFormat="1" applyFont="1" applyFill="1"/>
    <xf numFmtId="0" fontId="12" fillId="0" borderId="0" xfId="4" applyFont="1" applyFill="1" applyBorder="1" applyAlignment="1">
      <alignment horizontal="left" indent="1"/>
    </xf>
    <xf numFmtId="37" fontId="10" fillId="0" borderId="0" xfId="0" applyNumberFormat="1" applyFont="1" applyFill="1" applyBorder="1"/>
    <xf numFmtId="165" fontId="10" fillId="0" borderId="0" xfId="0" applyNumberFormat="1" applyFont="1" applyFill="1" applyBorder="1"/>
    <xf numFmtId="0" fontId="12" fillId="0" borderId="1" xfId="4" applyFont="1" applyFill="1" applyBorder="1" applyAlignment="1">
      <alignment horizontal="left" indent="1"/>
    </xf>
    <xf numFmtId="37" fontId="10" fillId="0" borderId="1" xfId="0" applyNumberFormat="1" applyFont="1" applyFill="1" applyBorder="1"/>
    <xf numFmtId="0" fontId="13" fillId="0" borderId="0" xfId="4" applyFont="1" applyFill="1" applyBorder="1"/>
    <xf numFmtId="5" fontId="20" fillId="2" borderId="3" xfId="1" applyNumberFormat="1" applyFont="1" applyFill="1" applyBorder="1"/>
    <xf numFmtId="165" fontId="10" fillId="2" borderId="4" xfId="1" applyNumberFormat="1" applyFont="1" applyFill="1" applyBorder="1"/>
    <xf numFmtId="5" fontId="10" fillId="0" borderId="0" xfId="0" applyNumberFormat="1" applyFont="1"/>
    <xf numFmtId="167" fontId="10" fillId="0" borderId="0" xfId="0" applyNumberFormat="1" applyFont="1" applyFill="1"/>
    <xf numFmtId="167" fontId="10" fillId="0" borderId="0" xfId="0" applyNumberFormat="1" applyFont="1"/>
    <xf numFmtId="0" fontId="15" fillId="0" borderId="0" xfId="0"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applyBorder="1"/>
    <xf numFmtId="0" fontId="10" fillId="0" borderId="0" xfId="0" applyFont="1" applyBorder="1" applyAlignment="1">
      <alignment horizontal="right"/>
    </xf>
    <xf numFmtId="0" fontId="12" fillId="0" borderId="0" xfId="0" applyFont="1" applyFill="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Border="1" applyAlignment="1" applyProtection="1">
      <alignment horizontal="right"/>
    </xf>
    <xf numFmtId="166" fontId="10" fillId="2" borderId="3" xfId="0" applyNumberFormat="1" applyFont="1" applyFill="1" applyBorder="1" applyAlignment="1" applyProtection="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pplyProtection="1">
      <alignment horizontal="right"/>
    </xf>
    <xf numFmtId="37" fontId="10" fillId="2" borderId="5" xfId="0" applyNumberFormat="1" applyFont="1" applyFill="1" applyBorder="1" applyAlignment="1" applyProtection="1">
      <alignment horizontal="right"/>
    </xf>
    <xf numFmtId="166" fontId="20" fillId="3" borderId="0" xfId="0" applyNumberFormat="1" applyFont="1" applyFill="1" applyBorder="1" applyAlignment="1" applyProtection="1">
      <alignment horizontal="right"/>
    </xf>
    <xf numFmtId="166" fontId="20" fillId="2" borderId="3" xfId="0" applyNumberFormat="1" applyFont="1" applyFill="1" applyBorder="1" applyAlignment="1" applyProtection="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Border="1" applyAlignment="1" applyProtection="1">
      <alignment horizontal="right"/>
    </xf>
    <xf numFmtId="42" fontId="20" fillId="2" borderId="3" xfId="0" applyNumberFormat="1" applyFont="1" applyFill="1" applyBorder="1" applyAlignment="1" applyProtection="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0" fontId="10" fillId="0" borderId="0" xfId="0" applyFont="1" applyFill="1" applyBorder="1" applyAlignment="1">
      <alignment horizontal="right"/>
    </xf>
    <xf numFmtId="5" fontId="10" fillId="0" borderId="0" xfId="0" applyNumberFormat="1" applyFont="1" applyAlignment="1">
      <alignment horizontal="right"/>
    </xf>
    <xf numFmtId="0" fontId="17" fillId="0" borderId="1" xfId="0" applyFont="1" applyBorder="1"/>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0" fontId="10" fillId="0" borderId="0" xfId="0" applyFont="1" applyAlignment="1">
      <alignment horizontal="left" indent="1"/>
    </xf>
    <xf numFmtId="41" fontId="10" fillId="0" borderId="0" xfId="0" applyNumberFormat="1" applyFont="1"/>
    <xf numFmtId="0" fontId="10" fillId="0" borderId="0" xfId="0" applyFont="1" applyBorder="1" applyAlignment="1">
      <alignment horizontal="left" indent="1"/>
    </xf>
    <xf numFmtId="41" fontId="10" fillId="3" borderId="0" xfId="0" applyNumberFormat="1" applyFont="1" applyFill="1" applyBorder="1"/>
    <xf numFmtId="0" fontId="10" fillId="0" borderId="1" xfId="0" applyFont="1" applyBorder="1" applyAlignment="1">
      <alignment horizontal="left" indent="1"/>
    </xf>
    <xf numFmtId="0" fontId="10" fillId="2" borderId="4" xfId="0" applyFont="1" applyFill="1" applyBorder="1"/>
    <xf numFmtId="37" fontId="10" fillId="0" borderId="0" xfId="0" applyNumberFormat="1" applyFont="1"/>
    <xf numFmtId="42" fontId="10" fillId="0" borderId="0" xfId="0" applyNumberFormat="1" applyFont="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5" fontId="10" fillId="0" borderId="0" xfId="0" applyNumberFormat="1" applyFont="1" applyBorder="1"/>
    <xf numFmtId="0" fontId="12" fillId="0" borderId="13" xfId="4" applyFont="1" applyFill="1" applyBorder="1"/>
    <xf numFmtId="37" fontId="10" fillId="2" borderId="5" xfId="0" applyNumberFormat="1" applyFont="1" applyFill="1" applyBorder="1" applyAlignment="1">
      <alignment horizontal="right"/>
    </xf>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applyBorder="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13" fillId="3" borderId="0" xfId="4" applyFont="1" applyFill="1"/>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0" fontId="12" fillId="3" borderId="13" xfId="4" applyFont="1" applyFill="1" applyBorder="1" applyAlignment="1">
      <alignment horizontal="left" indent="1"/>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4" applyFont="1" applyFill="1"/>
    <xf numFmtId="0" fontId="12" fillId="0" borderId="0" xfId="10" applyFont="1" applyBorder="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Border="1" applyAlignment="1">
      <alignment horizontal="left"/>
    </xf>
    <xf numFmtId="5" fontId="20" fillId="0" borderId="0" xfId="0" applyNumberFormat="1" applyFont="1" applyBorder="1" applyAlignment="1">
      <alignment horizontal="right"/>
    </xf>
    <xf numFmtId="5" fontId="20" fillId="2" borderId="3" xfId="0" applyNumberFormat="1" applyFont="1" applyFill="1" applyBorder="1" applyAlignment="1">
      <alignment horizontal="right"/>
    </xf>
    <xf numFmtId="42" fontId="20" fillId="0" borderId="0" xfId="0" applyNumberFormat="1" applyFont="1" applyBorder="1"/>
    <xf numFmtId="41" fontId="10" fillId="0" borderId="0" xfId="0" applyNumberFormat="1" applyFont="1" applyBorder="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Border="1" applyAlignment="1">
      <alignment horizontal="right"/>
    </xf>
    <xf numFmtId="41" fontId="20" fillId="2" borderId="3" xfId="0" applyNumberFormat="1" applyFont="1" applyFill="1" applyBorder="1" applyAlignment="1">
      <alignment horizontal="right"/>
    </xf>
    <xf numFmtId="165" fontId="10" fillId="0" borderId="0" xfId="0" applyNumberFormat="1" applyFont="1" applyBorder="1" applyAlignment="1">
      <alignment horizontal="right"/>
    </xf>
    <xf numFmtId="42" fontId="10" fillId="0" borderId="0" xfId="0" applyNumberFormat="1" applyFont="1" applyBorder="1" applyAlignment="1">
      <alignment horizontal="right"/>
    </xf>
    <xf numFmtId="0" fontId="13" fillId="0" borderId="0" xfId="10" applyFont="1" applyFill="1" applyBorder="1" applyAlignment="1">
      <alignment horizontal="left"/>
    </xf>
    <xf numFmtId="165" fontId="20" fillId="0" borderId="0" xfId="0" applyNumberFormat="1" applyFont="1" applyBorder="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Fill="1" applyBorder="1" applyAlignment="1">
      <alignment horizontal="left"/>
    </xf>
    <xf numFmtId="0" fontId="12" fillId="0" borderId="0" xfId="10" applyFont="1" applyFill="1" applyBorder="1" applyAlignment="1">
      <alignment horizontal="left" wrapText="1"/>
    </xf>
    <xf numFmtId="42" fontId="12" fillId="0" borderId="1" xfId="10" applyNumberFormat="1" applyFont="1" applyFill="1" applyBorder="1" applyAlignment="1">
      <alignment horizontal="left" wrapText="1"/>
    </xf>
    <xf numFmtId="42" fontId="10" fillId="0" borderId="0" xfId="0" applyNumberFormat="1" applyFont="1" applyBorder="1"/>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Border="1" applyAlignment="1">
      <alignment horizontal="left"/>
    </xf>
    <xf numFmtId="0" fontId="24" fillId="0" borderId="0" xfId="10" applyFont="1" applyAlignment="1">
      <alignment horizontal="left"/>
    </xf>
    <xf numFmtId="0" fontId="24" fillId="0" borderId="0" xfId="10" applyFont="1" applyAlignment="1">
      <alignment horizontal="center"/>
    </xf>
    <xf numFmtId="0" fontId="12" fillId="0" borderId="0" xfId="10" applyFont="1" applyFill="1" applyAlignment="1">
      <alignment horizontal="left"/>
    </xf>
    <xf numFmtId="0" fontId="12" fillId="0" borderId="0" xfId="10" applyFont="1" applyAlignment="1">
      <alignment horizontal="left"/>
    </xf>
    <xf numFmtId="42" fontId="10" fillId="0" borderId="0" xfId="1" applyNumberFormat="1" applyFont="1" applyAlignment="1">
      <alignment horizontal="right"/>
    </xf>
    <xf numFmtId="0" fontId="13" fillId="0" borderId="0" xfId="10" applyFont="1" applyAlignment="1">
      <alignment horizontal="lef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2" borderId="3" xfId="0" applyNumberFormat="1" applyFont="1" applyFill="1" applyBorder="1" applyAlignment="1">
      <alignment horizontal="right"/>
    </xf>
    <xf numFmtId="42" fontId="20" fillId="0" borderId="0" xfId="0" applyNumberFormat="1" applyFont="1" applyBorder="1" applyAlignment="1">
      <alignment horizontal="right"/>
    </xf>
    <xf numFmtId="0" fontId="24" fillId="0" borderId="0" xfId="10" applyFont="1" applyFill="1" applyAlignment="1">
      <alignment horizontal="center"/>
    </xf>
    <xf numFmtId="165" fontId="10" fillId="0" borderId="0" xfId="0" applyNumberFormat="1" applyFont="1" applyAlignment="1">
      <alignment horizontal="right"/>
    </xf>
    <xf numFmtId="0" fontId="12" fillId="0" borderId="1" xfId="10" applyFont="1" applyFill="1" applyBorder="1" applyAlignment="1">
      <alignment horizontal="left"/>
    </xf>
    <xf numFmtId="165" fontId="10" fillId="0" borderId="1" xfId="0" applyNumberFormat="1" applyFont="1" applyBorder="1" applyAlignment="1">
      <alignment horizontal="right"/>
    </xf>
    <xf numFmtId="165" fontId="20" fillId="0" borderId="0" xfId="0" applyNumberFormat="1" applyFont="1" applyAlignment="1">
      <alignment horizontal="right"/>
    </xf>
    <xf numFmtId="42" fontId="20" fillId="0" borderId="0" xfId="0" applyNumberFormat="1" applyFont="1" applyAlignment="1">
      <alignment horizontal="right"/>
    </xf>
    <xf numFmtId="171" fontId="10" fillId="3" borderId="0" xfId="0" applyNumberFormat="1" applyFont="1" applyFill="1" applyBorder="1" applyAlignment="1" applyProtection="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Border="1" applyAlignment="1" applyProtection="1">
      <alignment horizontal="right"/>
    </xf>
    <xf numFmtId="165" fontId="10" fillId="3" borderId="1" xfId="1" applyNumberFormat="1" applyFont="1" applyFill="1" applyBorder="1" applyAlignment="1" applyProtection="1">
      <alignment horizontal="right"/>
    </xf>
    <xf numFmtId="171" fontId="10" fillId="0" borderId="0" xfId="0" applyNumberFormat="1" applyFont="1" applyFill="1" applyBorder="1" applyAlignment="1" applyProtection="1">
      <alignment horizontal="right"/>
    </xf>
    <xf numFmtId="171" fontId="10" fillId="0" borderId="1" xfId="1" applyNumberFormat="1" applyFont="1" applyFill="1" applyBorder="1" applyAlignment="1" applyProtection="1">
      <alignment horizontal="right"/>
    </xf>
    <xf numFmtId="171" fontId="20" fillId="0" borderId="0" xfId="0" applyNumberFormat="1" applyFont="1" applyFill="1" applyBorder="1" applyAlignment="1" applyProtection="1">
      <alignment horizontal="right"/>
    </xf>
    <xf numFmtId="170" fontId="13" fillId="0" borderId="23" xfId="3" applyNumberFormat="1" applyFont="1" applyFill="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42" fontId="20" fillId="0" borderId="0" xfId="0" applyNumberFormat="1" applyFont="1" applyFill="1" applyAlignment="1">
      <alignment horizontal="right"/>
    </xf>
    <xf numFmtId="171" fontId="10" fillId="2" borderId="3" xfId="5" applyNumberFormat="1" applyFont="1" applyFill="1" applyBorder="1"/>
    <xf numFmtId="0" fontId="20" fillId="0" borderId="16" xfId="0" applyFont="1" applyFill="1" applyBorder="1" applyAlignment="1">
      <alignment horizontal="center" vertical="center"/>
    </xf>
    <xf numFmtId="0" fontId="20" fillId="0" borderId="19" xfId="0" applyFont="1" applyFill="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Fill="1" applyBorder="1"/>
    <xf numFmtId="0" fontId="10" fillId="0" borderId="20" xfId="0" applyFont="1" applyFill="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0" fontId="11" fillId="0" borderId="12"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2" fillId="0" borderId="10"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B4" sqref="B4:C4"/>
    </sheetView>
  </sheetViews>
  <sheetFormatPr defaultColWidth="8.7109375" defaultRowHeight="12.75"/>
  <cols>
    <col min="1" max="1" width="5.5703125" style="1" customWidth="1"/>
    <col min="2" max="3" width="41.7109375" style="1" customWidth="1"/>
    <col min="4" max="4" width="2.5703125" style="1" customWidth="1"/>
    <col min="5" max="16384" width="8.7109375" style="1"/>
  </cols>
  <sheetData>
    <row r="2" spans="2:3" ht="13.5" thickBot="1"/>
    <row r="3" spans="2:3" ht="18">
      <c r="B3" s="292" t="s">
        <v>210</v>
      </c>
      <c r="C3" s="293"/>
    </row>
    <row r="4" spans="2:3">
      <c r="B4" s="294"/>
      <c r="C4" s="295"/>
    </row>
    <row r="5" spans="2:3">
      <c r="B5" s="296" t="s">
        <v>31</v>
      </c>
      <c r="C5" s="297"/>
    </row>
    <row r="6" spans="2:3">
      <c r="B6" s="296"/>
      <c r="C6" s="297"/>
    </row>
    <row r="7" spans="2:3">
      <c r="B7" s="296"/>
      <c r="C7" s="297"/>
    </row>
    <row r="8" spans="2:3">
      <c r="B8" s="296"/>
      <c r="C8" s="297"/>
    </row>
    <row r="9" spans="2:3" ht="13.5" thickBot="1">
      <c r="B9" s="298"/>
      <c r="C9" s="299"/>
    </row>
    <row r="11" spans="2:3">
      <c r="B11" s="2" t="s">
        <v>115</v>
      </c>
    </row>
    <row r="12" spans="2:3">
      <c r="B12" s="3" t="s">
        <v>148</v>
      </c>
    </row>
    <row r="13" spans="2:3">
      <c r="B13" s="3" t="s">
        <v>149</v>
      </c>
    </row>
    <row r="14" spans="2:3">
      <c r="B14" s="4" t="s">
        <v>48</v>
      </c>
    </row>
    <row r="15" spans="2:3">
      <c r="B15" s="3" t="s">
        <v>150</v>
      </c>
    </row>
    <row r="16" spans="2:3">
      <c r="B16" s="3" t="s">
        <v>151</v>
      </c>
    </row>
    <row r="17" spans="2:2">
      <c r="B17" s="3" t="s">
        <v>59</v>
      </c>
    </row>
    <row r="18" spans="2:2">
      <c r="B18" s="3" t="s">
        <v>56</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W77"/>
  <sheetViews>
    <sheetView showGridLines="0" view="pageBreakPreview" zoomScale="80" zoomScaleNormal="80" zoomScaleSheetLayoutView="80" workbookViewId="0">
      <pane xSplit="2" ySplit="8" topLeftCell="C45" activePane="bottomRight" state="frozen"/>
      <selection pane="topRight"/>
      <selection pane="bottomLeft"/>
      <selection pane="bottomRight" activeCell="W75" sqref="W75"/>
    </sheetView>
  </sheetViews>
  <sheetFormatPr defaultColWidth="11.42578125" defaultRowHeight="12.75"/>
  <cols>
    <col min="1" max="1" width="8.5703125" style="1" customWidth="1"/>
    <col min="2" max="2" width="48.7109375" style="1" customWidth="1"/>
    <col min="3" max="16384" width="11.42578125" style="1"/>
  </cols>
  <sheetData>
    <row r="1" spans="2:23" ht="15" customHeight="1">
      <c r="B1" s="5"/>
      <c r="C1" s="5"/>
      <c r="J1" s="6"/>
      <c r="K1" s="6"/>
      <c r="L1" s="6"/>
      <c r="M1" s="6"/>
      <c r="O1" s="6"/>
      <c r="P1" s="6"/>
      <c r="Q1" s="6"/>
      <c r="R1" s="6"/>
      <c r="T1" s="6"/>
      <c r="U1" s="6"/>
      <c r="V1" s="6"/>
      <c r="W1" s="6"/>
    </row>
    <row r="2" spans="2:23" ht="15" customHeight="1">
      <c r="B2" s="5"/>
      <c r="C2" s="5"/>
      <c r="J2" s="6"/>
      <c r="K2" s="6"/>
      <c r="L2" s="6"/>
      <c r="M2" s="6"/>
      <c r="O2" s="6"/>
      <c r="P2" s="6"/>
      <c r="Q2" s="6"/>
      <c r="R2" s="6"/>
      <c r="T2" s="6"/>
      <c r="U2" s="6"/>
      <c r="V2" s="6"/>
      <c r="W2" s="6"/>
    </row>
    <row r="3" spans="2:23" ht="15" customHeight="1">
      <c r="B3" s="5"/>
      <c r="C3" s="5"/>
      <c r="D3" s="7"/>
      <c r="J3" s="6"/>
      <c r="K3" s="6"/>
      <c r="L3" s="6"/>
      <c r="M3" s="6"/>
      <c r="O3" s="6"/>
      <c r="P3" s="6"/>
      <c r="Q3" s="6"/>
      <c r="R3" s="6"/>
      <c r="T3" s="6"/>
      <c r="U3" s="6"/>
      <c r="V3" s="6"/>
      <c r="W3" s="6"/>
    </row>
    <row r="4" spans="2:23" ht="15" customHeight="1">
      <c r="B4" s="5"/>
      <c r="C4" s="5"/>
      <c r="D4" s="7"/>
      <c r="J4" s="6"/>
      <c r="K4" s="6"/>
      <c r="L4" s="6"/>
      <c r="M4" s="6"/>
      <c r="O4" s="6"/>
      <c r="P4" s="6"/>
      <c r="Q4" s="6"/>
      <c r="R4" s="6"/>
      <c r="T4" s="6"/>
      <c r="U4" s="6"/>
      <c r="V4" s="6"/>
      <c r="W4" s="6"/>
    </row>
    <row r="5" spans="2:23" s="9" customFormat="1" ht="15" customHeight="1">
      <c r="B5" s="8"/>
      <c r="C5" s="7" t="s">
        <v>49</v>
      </c>
      <c r="J5" s="10"/>
      <c r="K5" s="10"/>
      <c r="L5" s="10"/>
      <c r="M5" s="10"/>
      <c r="O5" s="10"/>
      <c r="P5" s="10"/>
      <c r="Q5" s="10"/>
      <c r="R5" s="10"/>
      <c r="T5" s="10"/>
      <c r="U5" s="10"/>
      <c r="V5" s="10"/>
      <c r="W5" s="10"/>
    </row>
    <row r="6" spans="2:23" s="9" customFormat="1" ht="15" customHeight="1">
      <c r="B6" s="11" t="s">
        <v>146</v>
      </c>
      <c r="C6" s="11"/>
      <c r="D6" s="12"/>
      <c r="E6" s="12"/>
      <c r="F6" s="12"/>
      <c r="G6" s="12"/>
      <c r="H6" s="12"/>
      <c r="I6" s="12"/>
      <c r="J6" s="13"/>
      <c r="K6" s="13"/>
      <c r="L6" s="13"/>
      <c r="M6" s="13"/>
      <c r="N6" s="12"/>
      <c r="O6" s="13"/>
      <c r="P6" s="13"/>
      <c r="Q6" s="13"/>
      <c r="R6" s="13"/>
      <c r="S6" s="12"/>
      <c r="T6" s="13"/>
      <c r="U6" s="10"/>
      <c r="V6" s="10"/>
      <c r="W6" s="13"/>
    </row>
    <row r="7" spans="2:23" ht="15" customHeight="1">
      <c r="B7" s="6" t="s">
        <v>155</v>
      </c>
      <c r="C7" s="6"/>
      <c r="J7" s="6"/>
      <c r="K7" s="6"/>
      <c r="L7" s="6"/>
      <c r="M7" s="6"/>
      <c r="O7" s="6"/>
      <c r="P7" s="6"/>
      <c r="Q7" s="6"/>
      <c r="R7" s="6"/>
      <c r="T7" s="6"/>
      <c r="U7" s="287"/>
      <c r="V7" s="287"/>
      <c r="W7" s="6"/>
    </row>
    <row r="8" spans="2:23">
      <c r="B8" s="14"/>
      <c r="C8" s="258" t="s">
        <v>122</v>
      </c>
      <c r="D8" s="15" t="s">
        <v>78</v>
      </c>
      <c r="E8" s="15" t="s">
        <v>79</v>
      </c>
      <c r="F8" s="15" t="s">
        <v>80</v>
      </c>
      <c r="G8" s="15" t="s">
        <v>81</v>
      </c>
      <c r="H8" s="258" t="s">
        <v>47</v>
      </c>
      <c r="I8" s="15" t="s">
        <v>82</v>
      </c>
      <c r="J8" s="15" t="s">
        <v>83</v>
      </c>
      <c r="K8" s="15" t="s">
        <v>84</v>
      </c>
      <c r="L8" s="15" t="s">
        <v>85</v>
      </c>
      <c r="M8" s="257" t="s">
        <v>86</v>
      </c>
      <c r="N8" s="15" t="s">
        <v>158</v>
      </c>
      <c r="O8" s="15" t="s">
        <v>157</v>
      </c>
      <c r="P8" s="15" t="s">
        <v>196</v>
      </c>
      <c r="Q8" s="15" t="s">
        <v>197</v>
      </c>
      <c r="R8" s="257" t="s">
        <v>198</v>
      </c>
      <c r="S8" s="15" t="s">
        <v>200</v>
      </c>
      <c r="T8" s="15" t="s">
        <v>201</v>
      </c>
      <c r="U8" s="15" t="s">
        <v>206</v>
      </c>
      <c r="V8" s="15" t="s">
        <v>212</v>
      </c>
      <c r="W8" s="257" t="s">
        <v>211</v>
      </c>
    </row>
    <row r="9" spans="2:23">
      <c r="B9" s="16" t="s">
        <v>127</v>
      </c>
      <c r="C9" s="259">
        <v>174760</v>
      </c>
      <c r="D9" s="17">
        <v>46757</v>
      </c>
      <c r="E9" s="17">
        <v>54013</v>
      </c>
      <c r="F9" s="17">
        <v>59121</v>
      </c>
      <c r="G9" s="17">
        <v>60210</v>
      </c>
      <c r="H9" s="259">
        <v>220101</v>
      </c>
      <c r="I9" s="17">
        <v>62471</v>
      </c>
      <c r="J9" s="17">
        <v>64812</v>
      </c>
      <c r="K9" s="17">
        <v>80021</v>
      </c>
      <c r="L9" s="17">
        <v>78316</v>
      </c>
      <c r="M9" s="277">
        <v>285620</v>
      </c>
      <c r="N9" s="17">
        <v>82511</v>
      </c>
      <c r="O9" s="17">
        <v>90143</v>
      </c>
      <c r="P9" s="17">
        <v>102217</v>
      </c>
      <c r="Q9" s="17">
        <v>105701</v>
      </c>
      <c r="R9" s="277">
        <f>Q9+P9+O9+N9</f>
        <v>380572</v>
      </c>
      <c r="S9" s="17">
        <v>99437</v>
      </c>
      <c r="T9" s="17">
        <v>104661</v>
      </c>
      <c r="U9" s="17">
        <v>119753</v>
      </c>
      <c r="V9" s="17">
        <v>119175</v>
      </c>
      <c r="W9" s="277">
        <f>V9+U9+T9+S9</f>
        <v>443026</v>
      </c>
    </row>
    <row r="10" spans="2:23">
      <c r="B10" s="18"/>
      <c r="C10" s="260"/>
      <c r="D10" s="19"/>
      <c r="E10" s="19"/>
      <c r="F10" s="19"/>
      <c r="G10" s="19"/>
      <c r="H10" s="260"/>
      <c r="I10" s="19"/>
      <c r="J10" s="19"/>
      <c r="K10" s="19"/>
      <c r="L10" s="19"/>
      <c r="M10" s="260"/>
      <c r="N10" s="19"/>
      <c r="O10" s="19"/>
      <c r="P10" s="19"/>
      <c r="Q10" s="19"/>
      <c r="R10" s="260"/>
      <c r="S10" s="19"/>
      <c r="T10" s="19"/>
      <c r="U10" s="19"/>
      <c r="V10" s="19"/>
      <c r="W10" s="260"/>
    </row>
    <row r="11" spans="2:23">
      <c r="B11" s="20" t="s">
        <v>128</v>
      </c>
      <c r="C11" s="261">
        <v>99976</v>
      </c>
      <c r="D11" s="21">
        <v>24061</v>
      </c>
      <c r="E11" s="21">
        <v>24009</v>
      </c>
      <c r="F11" s="21">
        <v>24526</v>
      </c>
      <c r="G11" s="21">
        <v>23800</v>
      </c>
      <c r="H11" s="261">
        <v>96396</v>
      </c>
      <c r="I11" s="21">
        <v>23654</v>
      </c>
      <c r="J11" s="21">
        <v>24466</v>
      </c>
      <c r="K11" s="21">
        <v>34838</v>
      </c>
      <c r="L11" s="21">
        <v>37760</v>
      </c>
      <c r="M11" s="261">
        <v>120718</v>
      </c>
      <c r="N11" s="21">
        <v>36426</v>
      </c>
      <c r="O11" s="21">
        <v>41460</v>
      </c>
      <c r="P11" s="21">
        <v>37966</v>
      </c>
      <c r="Q11" s="21">
        <v>36852</v>
      </c>
      <c r="R11" s="261">
        <f>Q11+P11+O11+N11</f>
        <v>152704</v>
      </c>
      <c r="S11" s="21">
        <v>34465</v>
      </c>
      <c r="T11" s="21">
        <v>34897</v>
      </c>
      <c r="U11" s="21">
        <v>37085</v>
      </c>
      <c r="V11" s="21">
        <v>37557</v>
      </c>
      <c r="W11" s="261">
        <f>V11+U11+T11+S11</f>
        <v>144004</v>
      </c>
    </row>
    <row r="12" spans="2:23">
      <c r="B12" s="16" t="s">
        <v>129</v>
      </c>
      <c r="C12" s="262">
        <f>C9-C11</f>
        <v>74784</v>
      </c>
      <c r="D12" s="22">
        <v>22696</v>
      </c>
      <c r="E12" s="22">
        <v>30004</v>
      </c>
      <c r="F12" s="22">
        <v>34595</v>
      </c>
      <c r="G12" s="22">
        <v>36410</v>
      </c>
      <c r="H12" s="262">
        <v>123705</v>
      </c>
      <c r="I12" s="22">
        <v>38817</v>
      </c>
      <c r="J12" s="22">
        <v>40346</v>
      </c>
      <c r="K12" s="22">
        <v>45183</v>
      </c>
      <c r="L12" s="22">
        <v>40556</v>
      </c>
      <c r="M12" s="262">
        <v>164902</v>
      </c>
      <c r="N12" s="22">
        <f t="shared" ref="N12:U12" si="0">N9-N11</f>
        <v>46085</v>
      </c>
      <c r="O12" s="22">
        <f t="shared" si="0"/>
        <v>48683</v>
      </c>
      <c r="P12" s="22">
        <f t="shared" si="0"/>
        <v>64251</v>
      </c>
      <c r="Q12" s="22">
        <f t="shared" si="0"/>
        <v>68849</v>
      </c>
      <c r="R12" s="262">
        <f t="shared" si="0"/>
        <v>227868</v>
      </c>
      <c r="S12" s="22">
        <f>S9-S11</f>
        <v>64972</v>
      </c>
      <c r="T12" s="22">
        <f t="shared" si="0"/>
        <v>69764</v>
      </c>
      <c r="U12" s="22">
        <f t="shared" si="0"/>
        <v>82668</v>
      </c>
      <c r="V12" s="22">
        <f t="shared" ref="V12:W12" si="1">V9-V11</f>
        <v>81618</v>
      </c>
      <c r="W12" s="262">
        <f t="shared" si="1"/>
        <v>299022</v>
      </c>
    </row>
    <row r="13" spans="2:23">
      <c r="B13" s="23" t="s">
        <v>130</v>
      </c>
      <c r="C13" s="263">
        <f>C12/C9</f>
        <v>0.42792401007095443</v>
      </c>
      <c r="D13" s="24">
        <v>0.48540325512757448</v>
      </c>
      <c r="E13" s="24">
        <v>0.55549589913539332</v>
      </c>
      <c r="F13" s="24">
        <v>0.58515586678168496</v>
      </c>
      <c r="G13" s="24">
        <v>0.6047168244477662</v>
      </c>
      <c r="H13" s="263">
        <v>0.56203742827156622</v>
      </c>
      <c r="I13" s="24">
        <v>0.6213603111843895</v>
      </c>
      <c r="J13" s="24">
        <v>0.62250817749799425</v>
      </c>
      <c r="K13" s="24">
        <v>0.56463928218842552</v>
      </c>
      <c r="L13" s="24">
        <v>0.51785075846570305</v>
      </c>
      <c r="M13" s="263">
        <v>0.57734752468314543</v>
      </c>
      <c r="N13" s="24">
        <f t="shared" ref="N13:U13" si="2">N12/N9</f>
        <v>0.55853158972743033</v>
      </c>
      <c r="O13" s="24">
        <f t="shared" si="2"/>
        <v>0.54006412034212303</v>
      </c>
      <c r="P13" s="24">
        <f t="shared" si="2"/>
        <v>0.62857450326266673</v>
      </c>
      <c r="Q13" s="24">
        <f t="shared" si="2"/>
        <v>0.65135618395284811</v>
      </c>
      <c r="R13" s="263">
        <f t="shared" si="2"/>
        <v>0.59875135322619633</v>
      </c>
      <c r="S13" s="24">
        <f t="shared" si="2"/>
        <v>0.65339863431117184</v>
      </c>
      <c r="T13" s="24">
        <f t="shared" si="2"/>
        <v>0.66657112009248909</v>
      </c>
      <c r="U13" s="24">
        <f t="shared" si="2"/>
        <v>0.69032091054086331</v>
      </c>
      <c r="V13" s="24">
        <f t="shared" ref="V13:W13" si="3">V12/V9</f>
        <v>0.68485840151038391</v>
      </c>
      <c r="W13" s="263">
        <f t="shared" si="3"/>
        <v>0.6749536144605508</v>
      </c>
    </row>
    <row r="14" spans="2:23">
      <c r="B14" s="23"/>
      <c r="C14" s="262"/>
      <c r="D14" s="25"/>
      <c r="E14" s="25"/>
      <c r="F14" s="25"/>
      <c r="G14" s="25"/>
      <c r="H14" s="262"/>
      <c r="I14" s="25"/>
      <c r="J14" s="25"/>
      <c r="K14" s="25"/>
      <c r="L14" s="25"/>
      <c r="M14" s="262"/>
      <c r="N14" s="25"/>
      <c r="O14" s="25"/>
      <c r="P14" s="25"/>
      <c r="Q14" s="25"/>
      <c r="R14" s="262"/>
      <c r="S14" s="25"/>
      <c r="T14" s="25"/>
      <c r="U14" s="25"/>
      <c r="V14" s="25"/>
      <c r="W14" s="262"/>
    </row>
    <row r="15" spans="2:23">
      <c r="B15" s="16" t="s">
        <v>131</v>
      </c>
      <c r="C15" s="262"/>
      <c r="D15" s="25"/>
      <c r="E15" s="25"/>
      <c r="F15" s="25"/>
      <c r="G15" s="25"/>
      <c r="H15" s="262"/>
      <c r="I15" s="25"/>
      <c r="J15" s="25"/>
      <c r="K15" s="25"/>
      <c r="L15" s="25"/>
      <c r="M15" s="262"/>
      <c r="N15" s="25"/>
      <c r="O15" s="25"/>
      <c r="P15" s="25"/>
      <c r="Q15" s="25"/>
      <c r="R15" s="262"/>
      <c r="S15" s="25"/>
      <c r="T15" s="25"/>
      <c r="U15" s="25"/>
      <c r="V15" s="25"/>
      <c r="W15" s="262"/>
    </row>
    <row r="16" spans="2:23">
      <c r="B16" s="16" t="s">
        <v>132</v>
      </c>
      <c r="C16" s="262">
        <v>49367</v>
      </c>
      <c r="D16" s="19">
        <v>14840</v>
      </c>
      <c r="E16" s="25">
        <v>15599</v>
      </c>
      <c r="F16" s="25">
        <v>14311</v>
      </c>
      <c r="G16" s="19">
        <v>15963</v>
      </c>
      <c r="H16" s="260">
        <v>60713</v>
      </c>
      <c r="I16" s="25">
        <v>16970</v>
      </c>
      <c r="J16" s="25">
        <v>16940</v>
      </c>
      <c r="K16" s="25">
        <v>20469</v>
      </c>
      <c r="L16" s="25">
        <v>31318</v>
      </c>
      <c r="M16" s="260">
        <v>85697</v>
      </c>
      <c r="N16" s="25">
        <v>23722</v>
      </c>
      <c r="O16" s="25">
        <v>26445</v>
      </c>
      <c r="P16" s="25">
        <v>27403</v>
      </c>
      <c r="Q16" s="25">
        <v>28411</v>
      </c>
      <c r="R16" s="262">
        <f>Q16+P16+O16+N16</f>
        <v>105981</v>
      </c>
      <c r="S16" s="25">
        <v>26989</v>
      </c>
      <c r="T16" s="25">
        <v>31035</v>
      </c>
      <c r="U16" s="25">
        <v>30608</v>
      </c>
      <c r="V16" s="25">
        <v>46479</v>
      </c>
      <c r="W16" s="262">
        <f>V16+U16+T16+S16</f>
        <v>135111</v>
      </c>
    </row>
    <row r="17" spans="2:23">
      <c r="B17" s="16" t="s">
        <v>133</v>
      </c>
      <c r="C17" s="262">
        <v>59258</v>
      </c>
      <c r="D17" s="19">
        <v>24091</v>
      </c>
      <c r="E17" s="25">
        <v>25981</v>
      </c>
      <c r="F17" s="25">
        <v>27832</v>
      </c>
      <c r="G17" s="19">
        <v>30735</v>
      </c>
      <c r="H17" s="260">
        <v>108639</v>
      </c>
      <c r="I17" s="25">
        <v>33323</v>
      </c>
      <c r="J17" s="25">
        <v>35940</v>
      </c>
      <c r="K17" s="25">
        <v>40054</v>
      </c>
      <c r="L17" s="25">
        <v>49223</v>
      </c>
      <c r="M17" s="260">
        <v>158540</v>
      </c>
      <c r="N17" s="25">
        <v>43144</v>
      </c>
      <c r="O17" s="25">
        <v>45204</v>
      </c>
      <c r="P17" s="25">
        <v>51993</v>
      </c>
      <c r="Q17" s="25">
        <v>48564</v>
      </c>
      <c r="R17" s="262">
        <f>Q17+P17+O17+N17</f>
        <v>188905</v>
      </c>
      <c r="S17" s="25">
        <v>38627</v>
      </c>
      <c r="T17" s="25">
        <v>41705</v>
      </c>
      <c r="U17" s="25">
        <v>43904</v>
      </c>
      <c r="V17" s="25">
        <v>53307</v>
      </c>
      <c r="W17" s="262">
        <f>V17+U17+T17+S17</f>
        <v>177543</v>
      </c>
    </row>
    <row r="18" spans="2:23">
      <c r="B18" s="16" t="s">
        <v>134</v>
      </c>
      <c r="C18" s="262">
        <v>92898</v>
      </c>
      <c r="D18" s="19">
        <v>23587</v>
      </c>
      <c r="E18" s="25">
        <v>23724</v>
      </c>
      <c r="F18" s="25">
        <v>20929</v>
      </c>
      <c r="G18" s="19">
        <v>16914</v>
      </c>
      <c r="H18" s="260">
        <v>85154</v>
      </c>
      <c r="I18" s="25">
        <v>18125</v>
      </c>
      <c r="J18" s="25">
        <v>25176</v>
      </c>
      <c r="K18" s="25">
        <v>27828</v>
      </c>
      <c r="L18" s="25">
        <v>27749</v>
      </c>
      <c r="M18" s="260">
        <v>98878</v>
      </c>
      <c r="N18" s="25">
        <v>25318</v>
      </c>
      <c r="O18" s="25">
        <v>27262</v>
      </c>
      <c r="P18" s="25">
        <v>26107</v>
      </c>
      <c r="Q18" s="25">
        <v>30216</v>
      </c>
      <c r="R18" s="262">
        <f>Q18+P18+O18+N18</f>
        <v>108903</v>
      </c>
      <c r="S18" s="25">
        <v>23368</v>
      </c>
      <c r="T18" s="25">
        <v>24495</v>
      </c>
      <c r="U18" s="25">
        <v>23943</v>
      </c>
      <c r="V18" s="25">
        <v>32395</v>
      </c>
      <c r="W18" s="262">
        <f>V18+U18+T18+S18</f>
        <v>104201</v>
      </c>
    </row>
    <row r="19" spans="2:23">
      <c r="B19" s="20" t="s">
        <v>135</v>
      </c>
      <c r="C19" s="264">
        <v>4673</v>
      </c>
      <c r="D19" s="27">
        <v>-3</v>
      </c>
      <c r="E19" s="27">
        <v>2833</v>
      </c>
      <c r="F19" s="27">
        <v>-788</v>
      </c>
      <c r="G19" s="27">
        <v>681</v>
      </c>
      <c r="H19" s="264">
        <v>2723</v>
      </c>
      <c r="I19" s="26">
        <v>1</v>
      </c>
      <c r="J19" s="26">
        <v>489</v>
      </c>
      <c r="K19" s="26">
        <v>5043</v>
      </c>
      <c r="L19" s="26">
        <v>14400</v>
      </c>
      <c r="M19" s="261">
        <v>19933</v>
      </c>
      <c r="N19" s="26">
        <v>2276</v>
      </c>
      <c r="O19" s="26">
        <v>45</v>
      </c>
      <c r="P19" s="26">
        <v>233</v>
      </c>
      <c r="Q19" s="286">
        <v>2447</v>
      </c>
      <c r="R19" s="264">
        <f>Q19+P19+O19+N19</f>
        <v>5001</v>
      </c>
      <c r="S19" s="26">
        <v>1995</v>
      </c>
      <c r="T19" s="36">
        <v>-619</v>
      </c>
      <c r="U19" s="36">
        <v>-6</v>
      </c>
      <c r="V19" s="36">
        <v>1345</v>
      </c>
      <c r="W19" s="264">
        <f>V19+U19+T19+S19</f>
        <v>2715</v>
      </c>
    </row>
    <row r="20" spans="2:23">
      <c r="B20" s="16" t="s">
        <v>136</v>
      </c>
      <c r="C20" s="262">
        <f>SUM(C16:C19)</f>
        <v>206196</v>
      </c>
      <c r="D20" s="25">
        <v>62515</v>
      </c>
      <c r="E20" s="25">
        <v>68137</v>
      </c>
      <c r="F20" s="25">
        <v>62284</v>
      </c>
      <c r="G20" s="25">
        <v>64293</v>
      </c>
      <c r="H20" s="262">
        <v>257229</v>
      </c>
      <c r="I20" s="25">
        <v>68419</v>
      </c>
      <c r="J20" s="25">
        <v>78545</v>
      </c>
      <c r="K20" s="25">
        <v>93394</v>
      </c>
      <c r="L20" s="25">
        <v>122690</v>
      </c>
      <c r="M20" s="262">
        <v>363048</v>
      </c>
      <c r="N20" s="25">
        <f t="shared" ref="N20:S20" si="4">SUM(N16:N19)</f>
        <v>94460</v>
      </c>
      <c r="O20" s="25">
        <f t="shared" si="4"/>
        <v>98956</v>
      </c>
      <c r="P20" s="25">
        <f t="shared" si="4"/>
        <v>105736</v>
      </c>
      <c r="Q20" s="25">
        <f>SUM(Q16:Q19)</f>
        <v>109638</v>
      </c>
      <c r="R20" s="262">
        <f>SUM(R16:R19)</f>
        <v>408790</v>
      </c>
      <c r="S20" s="25">
        <f t="shared" si="4"/>
        <v>90979</v>
      </c>
      <c r="T20" s="25">
        <f>SUM(T16:T19)</f>
        <v>96616</v>
      </c>
      <c r="U20" s="25">
        <f>SUM(U16:U19)</f>
        <v>98449</v>
      </c>
      <c r="V20" s="25">
        <f>SUM(V16:V19)</f>
        <v>133526</v>
      </c>
      <c r="W20" s="262">
        <f>SUM(W16:W19)</f>
        <v>419570</v>
      </c>
    </row>
    <row r="21" spans="2:23">
      <c r="B21" s="28"/>
      <c r="C21" s="265"/>
      <c r="D21" s="29"/>
      <c r="E21" s="29"/>
      <c r="F21" s="29"/>
      <c r="G21" s="29"/>
      <c r="H21" s="275"/>
      <c r="I21" s="29"/>
      <c r="J21" s="29"/>
      <c r="K21" s="29"/>
      <c r="L21" s="29"/>
      <c r="M21" s="265"/>
      <c r="N21" s="29"/>
      <c r="O21" s="29"/>
      <c r="P21" s="29"/>
      <c r="Q21" s="29"/>
      <c r="R21" s="265"/>
      <c r="S21" s="29"/>
      <c r="T21" s="29"/>
      <c r="U21" s="29"/>
      <c r="V21" s="29"/>
      <c r="W21" s="265"/>
    </row>
    <row r="22" spans="2:23">
      <c r="B22" s="28" t="s">
        <v>137</v>
      </c>
      <c r="C22" s="266">
        <f>C12-C20</f>
        <v>-131412</v>
      </c>
      <c r="D22" s="30">
        <v>-39819</v>
      </c>
      <c r="E22" s="30">
        <v>-38133</v>
      </c>
      <c r="F22" s="30">
        <v>-27689</v>
      </c>
      <c r="G22" s="30">
        <v>-27883</v>
      </c>
      <c r="H22" s="266">
        <v>-133524</v>
      </c>
      <c r="I22" s="30">
        <v>-29602</v>
      </c>
      <c r="J22" s="30">
        <v>-38199</v>
      </c>
      <c r="K22" s="30">
        <v>-48211</v>
      </c>
      <c r="L22" s="30">
        <v>-82134</v>
      </c>
      <c r="M22" s="266">
        <v>-198146</v>
      </c>
      <c r="N22" s="30">
        <f t="shared" ref="N22:S22" si="5">N12-N20</f>
        <v>-48375</v>
      </c>
      <c r="O22" s="30">
        <f t="shared" si="5"/>
        <v>-50273</v>
      </c>
      <c r="P22" s="30">
        <f t="shared" si="5"/>
        <v>-41485</v>
      </c>
      <c r="Q22" s="30">
        <f t="shared" si="5"/>
        <v>-40789</v>
      </c>
      <c r="R22" s="266">
        <f t="shared" si="5"/>
        <v>-180922</v>
      </c>
      <c r="S22" s="30">
        <f t="shared" si="5"/>
        <v>-26007</v>
      </c>
      <c r="T22" s="30">
        <f>T12-T20</f>
        <v>-26852</v>
      </c>
      <c r="U22" s="30">
        <f>U12-U20</f>
        <v>-15781</v>
      </c>
      <c r="V22" s="30">
        <f>V12-V20</f>
        <v>-51908</v>
      </c>
      <c r="W22" s="266">
        <f t="shared" ref="W22" si="6">W12-W20</f>
        <v>-120548</v>
      </c>
    </row>
    <row r="23" spans="2:23">
      <c r="B23" s="31" t="s">
        <v>138</v>
      </c>
      <c r="C23" s="267">
        <f>C22/C9</f>
        <v>-0.75195696955825131</v>
      </c>
      <c r="D23" s="32">
        <v>-0.85161580084265454</v>
      </c>
      <c r="E23" s="32">
        <v>-0.70599670449706553</v>
      </c>
      <c r="F23" s="32">
        <v>-0.46834458145159924</v>
      </c>
      <c r="G23" s="32">
        <v>-0.46309583125726622</v>
      </c>
      <c r="H23" s="267">
        <v>-0.60664876579388549</v>
      </c>
      <c r="I23" s="32">
        <v>-0.4738518672664116</v>
      </c>
      <c r="J23" s="32">
        <v>-0.58938159600074058</v>
      </c>
      <c r="K23" s="32">
        <v>-0.60247934917084267</v>
      </c>
      <c r="L23" s="32">
        <v>-1.0487512130343735</v>
      </c>
      <c r="M23" s="267">
        <v>-0.69373993417827884</v>
      </c>
      <c r="N23" s="32">
        <f t="shared" ref="N23:S23" si="7">N22/N9</f>
        <v>-0.58628546496830725</v>
      </c>
      <c r="O23" s="32">
        <f t="shared" si="7"/>
        <v>-0.55770276116836581</v>
      </c>
      <c r="P23" s="32">
        <f t="shared" si="7"/>
        <v>-0.40585225549566117</v>
      </c>
      <c r="Q23" s="32">
        <f t="shared" si="7"/>
        <v>-0.38589038892725708</v>
      </c>
      <c r="R23" s="267">
        <f t="shared" si="7"/>
        <v>-0.4753949318394417</v>
      </c>
      <c r="S23" s="32">
        <f t="shared" si="7"/>
        <v>-0.26154248418596698</v>
      </c>
      <c r="T23" s="32">
        <f>T22/T9</f>
        <v>-0.25656166098164551</v>
      </c>
      <c r="U23" s="32">
        <f>U22/U9</f>
        <v>-0.13177957963474818</v>
      </c>
      <c r="V23" s="32">
        <f>V22/V9</f>
        <v>-0.43556114956996012</v>
      </c>
      <c r="W23" s="267">
        <f t="shared" ref="W23" si="8">W22/W9</f>
        <v>-0.27210141165529789</v>
      </c>
    </row>
    <row r="24" spans="2:23">
      <c r="B24" s="28"/>
      <c r="C24" s="268"/>
      <c r="D24" s="33"/>
      <c r="E24" s="33"/>
      <c r="F24" s="33"/>
      <c r="G24" s="34"/>
      <c r="H24" s="276"/>
      <c r="I24" s="33"/>
      <c r="J24" s="33"/>
      <c r="K24" s="33"/>
      <c r="L24" s="33"/>
      <c r="M24" s="268"/>
      <c r="N24" s="33"/>
      <c r="O24" s="33"/>
      <c r="P24" s="33"/>
      <c r="Q24" s="33"/>
      <c r="R24" s="268"/>
      <c r="S24" s="33"/>
      <c r="T24" s="33"/>
      <c r="U24" s="33"/>
      <c r="V24" s="33"/>
      <c r="W24" s="268"/>
    </row>
    <row r="25" spans="2:23">
      <c r="B25" s="35" t="s">
        <v>139</v>
      </c>
      <c r="C25" s="269">
        <v>652</v>
      </c>
      <c r="D25" s="27">
        <v>-580</v>
      </c>
      <c r="E25" s="36">
        <v>263</v>
      </c>
      <c r="F25" s="36">
        <v>432</v>
      </c>
      <c r="G25" s="36">
        <v>387</v>
      </c>
      <c r="H25" s="269">
        <v>502</v>
      </c>
      <c r="I25" s="36">
        <v>356</v>
      </c>
      <c r="J25" s="36">
        <v>-281</v>
      </c>
      <c r="K25" s="36">
        <v>10404</v>
      </c>
      <c r="L25" s="36">
        <v>8311</v>
      </c>
      <c r="M25" s="261">
        <v>18790</v>
      </c>
      <c r="N25" s="36">
        <v>5882</v>
      </c>
      <c r="O25" s="36">
        <v>4780</v>
      </c>
      <c r="P25" s="36">
        <v>3158</v>
      </c>
      <c r="Q25" s="36">
        <v>1565</v>
      </c>
      <c r="R25" s="264">
        <f>Q25+P25+O25+N25</f>
        <v>15385</v>
      </c>
      <c r="S25" s="36">
        <v>463</v>
      </c>
      <c r="T25" s="36">
        <v>-225</v>
      </c>
      <c r="U25" s="36">
        <v>-86</v>
      </c>
      <c r="V25" s="36">
        <v>-404</v>
      </c>
      <c r="W25" s="290">
        <f>V25+U25+T25+S25</f>
        <v>-252</v>
      </c>
    </row>
    <row r="26" spans="2:23">
      <c r="B26" s="28"/>
      <c r="C26" s="265"/>
      <c r="D26" s="29"/>
      <c r="E26" s="29"/>
      <c r="F26" s="29"/>
      <c r="G26" s="29"/>
      <c r="H26" s="265"/>
      <c r="I26" s="29"/>
      <c r="J26" s="29"/>
      <c r="K26" s="29"/>
      <c r="L26" s="29"/>
      <c r="M26" s="265"/>
      <c r="N26" s="29"/>
      <c r="O26" s="29"/>
      <c r="P26" s="29"/>
      <c r="Q26" s="29"/>
      <c r="R26" s="265"/>
      <c r="S26" s="29"/>
      <c r="T26" s="29"/>
      <c r="U26" s="29"/>
      <c r="V26" s="29"/>
      <c r="W26" s="265"/>
    </row>
    <row r="27" spans="2:23">
      <c r="B27" s="28" t="s">
        <v>140</v>
      </c>
      <c r="C27" s="266">
        <v>-130760</v>
      </c>
      <c r="D27" s="30">
        <v>-40399</v>
      </c>
      <c r="E27" s="30">
        <v>-37870</v>
      </c>
      <c r="F27" s="30">
        <v>-27257</v>
      </c>
      <c r="G27" s="30">
        <v>-27496</v>
      </c>
      <c r="H27" s="266">
        <v>-133022</v>
      </c>
      <c r="I27" s="30">
        <v>-29246</v>
      </c>
      <c r="J27" s="30">
        <v>-38480</v>
      </c>
      <c r="K27" s="30">
        <v>-37807</v>
      </c>
      <c r="L27" s="30">
        <v>-73823</v>
      </c>
      <c r="M27" s="266">
        <v>-179356</v>
      </c>
      <c r="N27" s="30">
        <f t="shared" ref="N27:T27" si="9">N22+N25</f>
        <v>-42493</v>
      </c>
      <c r="O27" s="30">
        <f t="shared" si="9"/>
        <v>-45493</v>
      </c>
      <c r="P27" s="30">
        <f t="shared" si="9"/>
        <v>-38327</v>
      </c>
      <c r="Q27" s="30">
        <f t="shared" si="9"/>
        <v>-39224</v>
      </c>
      <c r="R27" s="266">
        <f>R22+R25</f>
        <v>-165537</v>
      </c>
      <c r="S27" s="30">
        <f t="shared" si="9"/>
        <v>-25544</v>
      </c>
      <c r="T27" s="30">
        <f t="shared" si="9"/>
        <v>-27077</v>
      </c>
      <c r="U27" s="30">
        <f t="shared" ref="U27:V27" si="10">U22+U25</f>
        <v>-15867</v>
      </c>
      <c r="V27" s="30">
        <f t="shared" si="10"/>
        <v>-52312</v>
      </c>
      <c r="W27" s="266">
        <f>W22+W25</f>
        <v>-120800</v>
      </c>
    </row>
    <row r="28" spans="2:23">
      <c r="B28" s="28"/>
      <c r="C28" s="266"/>
      <c r="D28" s="30"/>
      <c r="E28" s="30"/>
      <c r="F28" s="30"/>
      <c r="G28" s="30"/>
      <c r="H28" s="266"/>
      <c r="I28" s="30"/>
      <c r="J28" s="30"/>
      <c r="K28" s="30"/>
      <c r="L28" s="30"/>
      <c r="M28" s="266"/>
      <c r="N28" s="30"/>
      <c r="O28" s="30"/>
      <c r="P28" s="30"/>
      <c r="Q28" s="30"/>
      <c r="R28" s="266"/>
      <c r="S28" s="30"/>
      <c r="T28" s="30"/>
      <c r="U28" s="30"/>
      <c r="V28" s="30"/>
      <c r="W28" s="266"/>
    </row>
    <row r="29" spans="2:23">
      <c r="B29" s="35" t="s">
        <v>6</v>
      </c>
      <c r="C29" s="270">
        <v>-45184</v>
      </c>
      <c r="D29" s="36">
        <v>-14184</v>
      </c>
      <c r="E29" s="27">
        <v>-12679</v>
      </c>
      <c r="F29" s="27">
        <v>-30374</v>
      </c>
      <c r="G29" s="27">
        <v>-8486</v>
      </c>
      <c r="H29" s="270">
        <v>-65723</v>
      </c>
      <c r="I29" s="27">
        <v>-1428</v>
      </c>
      <c r="J29" s="27">
        <v>2700</v>
      </c>
      <c r="K29" s="27">
        <v>-22546</v>
      </c>
      <c r="L29" s="27">
        <v>-24135</v>
      </c>
      <c r="M29" s="269">
        <v>-45409</v>
      </c>
      <c r="N29" s="27">
        <v>-353</v>
      </c>
      <c r="O29" s="27">
        <v>-5291</v>
      </c>
      <c r="P29" s="27">
        <v>-287</v>
      </c>
      <c r="Q29" s="36">
        <v>-34345</v>
      </c>
      <c r="R29" s="270">
        <f>Q29+P29+O29+N29</f>
        <v>-40276</v>
      </c>
      <c r="S29" s="27">
        <v>-3816</v>
      </c>
      <c r="T29" s="36">
        <v>-3109</v>
      </c>
      <c r="U29" s="36">
        <v>-4142</v>
      </c>
      <c r="V29" s="36">
        <v>-19465</v>
      </c>
      <c r="W29" s="270">
        <f>V29+U29+T29+S29</f>
        <v>-30532</v>
      </c>
    </row>
    <row r="30" spans="2:23">
      <c r="B30" s="28"/>
      <c r="C30" s="265"/>
      <c r="D30" s="29"/>
      <c r="E30" s="29"/>
      <c r="F30" s="29"/>
      <c r="G30" s="29"/>
      <c r="H30" s="265"/>
      <c r="I30" s="29"/>
      <c r="J30" s="29"/>
      <c r="K30" s="29"/>
      <c r="L30" s="29"/>
      <c r="M30" s="265"/>
      <c r="N30" s="29"/>
      <c r="O30" s="29"/>
      <c r="P30" s="29"/>
      <c r="Q30" s="29"/>
      <c r="R30" s="265"/>
      <c r="S30" s="29"/>
      <c r="T30" s="29"/>
      <c r="U30" s="29"/>
      <c r="V30" s="29"/>
      <c r="W30" s="265"/>
    </row>
    <row r="31" spans="2:23">
      <c r="B31" s="37" t="s">
        <v>141</v>
      </c>
      <c r="C31" s="271">
        <v>-85576</v>
      </c>
      <c r="D31" s="38">
        <v>-26215</v>
      </c>
      <c r="E31" s="38">
        <v>-25191</v>
      </c>
      <c r="F31" s="38">
        <v>3117</v>
      </c>
      <c r="G31" s="38">
        <v>-19010</v>
      </c>
      <c r="H31" s="271">
        <v>-67299</v>
      </c>
      <c r="I31" s="38">
        <v>-27818</v>
      </c>
      <c r="J31" s="38">
        <v>-41180</v>
      </c>
      <c r="K31" s="38">
        <v>-15261</v>
      </c>
      <c r="L31" s="38">
        <v>-49688</v>
      </c>
      <c r="M31" s="271">
        <v>-133947</v>
      </c>
      <c r="N31" s="38">
        <f t="shared" ref="N31:T31" si="11">N27-N29</f>
        <v>-42140</v>
      </c>
      <c r="O31" s="38">
        <f t="shared" si="11"/>
        <v>-40202</v>
      </c>
      <c r="P31" s="38">
        <f t="shared" si="11"/>
        <v>-38040</v>
      </c>
      <c r="Q31" s="38">
        <f t="shared" si="11"/>
        <v>-4879</v>
      </c>
      <c r="R31" s="271">
        <f t="shared" si="11"/>
        <v>-125261</v>
      </c>
      <c r="S31" s="38">
        <f t="shared" si="11"/>
        <v>-21728</v>
      </c>
      <c r="T31" s="38">
        <f t="shared" si="11"/>
        <v>-23968</v>
      </c>
      <c r="U31" s="38">
        <f t="shared" ref="U31:W31" si="12">U27-U29</f>
        <v>-11725</v>
      </c>
      <c r="V31" s="38">
        <f t="shared" si="12"/>
        <v>-32847</v>
      </c>
      <c r="W31" s="271">
        <f t="shared" si="12"/>
        <v>-90268</v>
      </c>
    </row>
    <row r="32" spans="2:23">
      <c r="B32" s="37"/>
      <c r="C32" s="271"/>
      <c r="D32" s="38"/>
      <c r="E32" s="38"/>
      <c r="F32" s="38"/>
      <c r="G32" s="38"/>
      <c r="H32" s="271"/>
      <c r="I32" s="38"/>
      <c r="J32" s="38"/>
      <c r="K32" s="38"/>
      <c r="L32" s="38"/>
      <c r="M32" s="271"/>
      <c r="N32" s="38"/>
      <c r="O32" s="38"/>
      <c r="P32" s="38"/>
      <c r="Q32" s="38"/>
      <c r="R32" s="271"/>
      <c r="S32" s="38"/>
      <c r="T32" s="38"/>
      <c r="U32" s="38"/>
      <c r="V32" s="38"/>
      <c r="W32" s="271"/>
    </row>
    <row r="33" spans="2:23">
      <c r="B33" s="35" t="s">
        <v>142</v>
      </c>
      <c r="C33" s="270">
        <v>89684</v>
      </c>
      <c r="D33" s="36">
        <v>24915</v>
      </c>
      <c r="E33" s="39">
        <v>21855</v>
      </c>
      <c r="F33" s="39">
        <v>19824</v>
      </c>
      <c r="G33" s="39">
        <v>24185</v>
      </c>
      <c r="H33" s="261">
        <v>90779</v>
      </c>
      <c r="I33" s="39">
        <v>24803</v>
      </c>
      <c r="J33" s="39">
        <v>61803</v>
      </c>
      <c r="K33" s="39">
        <v>1071661</v>
      </c>
      <c r="L33" s="27">
        <v>4227</v>
      </c>
      <c r="M33" s="269">
        <v>1162494</v>
      </c>
      <c r="N33" s="40">
        <v>0</v>
      </c>
      <c r="O33" s="40">
        <v>0</v>
      </c>
      <c r="P33" s="40">
        <v>0</v>
      </c>
      <c r="Q33" s="36">
        <v>750</v>
      </c>
      <c r="R33" s="270">
        <f>Q33+P33+O33+N33</f>
        <v>750</v>
      </c>
      <c r="S33" s="40">
        <v>0</v>
      </c>
      <c r="T33" s="40">
        <v>0</v>
      </c>
      <c r="U33" s="40">
        <v>0</v>
      </c>
      <c r="V33" s="40">
        <v>0</v>
      </c>
      <c r="W33" s="291">
        <f>V33+U33+T33+S33</f>
        <v>0</v>
      </c>
    </row>
    <row r="34" spans="2:23">
      <c r="B34" s="37"/>
      <c r="C34" s="271"/>
      <c r="D34" s="38"/>
      <c r="E34" s="38"/>
      <c r="F34" s="38"/>
      <c r="G34" s="38"/>
      <c r="H34" s="271"/>
      <c r="I34" s="38"/>
      <c r="J34" s="38"/>
      <c r="K34" s="38"/>
      <c r="L34" s="38"/>
      <c r="M34" s="271"/>
      <c r="N34" s="38"/>
      <c r="O34" s="38"/>
      <c r="P34" s="38"/>
      <c r="Q34" s="38"/>
      <c r="R34" s="271"/>
      <c r="S34" s="38"/>
      <c r="T34" s="38"/>
      <c r="U34" s="38"/>
      <c r="V34" s="38"/>
      <c r="W34" s="271"/>
    </row>
    <row r="35" spans="2:23">
      <c r="B35" s="28" t="s">
        <v>143</v>
      </c>
      <c r="C35" s="271">
        <v>4108</v>
      </c>
      <c r="D35" s="38">
        <v>-1300</v>
      </c>
      <c r="E35" s="38">
        <v>-3336</v>
      </c>
      <c r="F35" s="38">
        <v>22941</v>
      </c>
      <c r="G35" s="38">
        <v>5175</v>
      </c>
      <c r="H35" s="271">
        <v>23480</v>
      </c>
      <c r="I35" s="38">
        <v>-3015</v>
      </c>
      <c r="J35" s="38">
        <v>20623</v>
      </c>
      <c r="K35" s="38">
        <v>1056400</v>
      </c>
      <c r="L35" s="38">
        <f>L31+L33</f>
        <v>-45461</v>
      </c>
      <c r="M35" s="271">
        <f>M31+M33</f>
        <v>1028547</v>
      </c>
      <c r="N35" s="38">
        <f>N31+N33</f>
        <v>-42140</v>
      </c>
      <c r="O35" s="38">
        <f t="shared" ref="O35:P35" si="13">O31+O33</f>
        <v>-40202</v>
      </c>
      <c r="P35" s="38">
        <f t="shared" si="13"/>
        <v>-38040</v>
      </c>
      <c r="Q35" s="38">
        <f t="shared" ref="Q35:R35" si="14">Q31+Q33</f>
        <v>-4129</v>
      </c>
      <c r="R35" s="271">
        <f t="shared" si="14"/>
        <v>-124511</v>
      </c>
      <c r="S35" s="38">
        <f t="shared" ref="S35" si="15">S31+S33</f>
        <v>-21728</v>
      </c>
      <c r="T35" s="38">
        <f t="shared" ref="T35:U35" si="16">T31+T33</f>
        <v>-23968</v>
      </c>
      <c r="U35" s="38">
        <f t="shared" si="16"/>
        <v>-11725</v>
      </c>
      <c r="V35" s="38">
        <f t="shared" ref="V35:W35" si="17">V31+V33</f>
        <v>-32847</v>
      </c>
      <c r="W35" s="271">
        <f t="shared" si="17"/>
        <v>-90268</v>
      </c>
    </row>
    <row r="36" spans="2:23">
      <c r="B36" s="28"/>
      <c r="C36" s="272"/>
      <c r="D36" s="41"/>
      <c r="E36" s="41"/>
      <c r="F36" s="41"/>
      <c r="G36" s="41"/>
      <c r="H36" s="272"/>
      <c r="I36" s="41"/>
      <c r="J36" s="41"/>
      <c r="K36" s="41"/>
      <c r="L36" s="41"/>
      <c r="M36" s="272"/>
      <c r="N36" s="41"/>
      <c r="O36" s="41"/>
      <c r="P36" s="41"/>
      <c r="Q36" s="41"/>
      <c r="R36" s="272"/>
      <c r="S36" s="41"/>
      <c r="T36" s="41"/>
      <c r="U36" s="41"/>
      <c r="V36" s="41"/>
      <c r="W36" s="272"/>
    </row>
    <row r="37" spans="2:23" ht="13.5" thickBot="1">
      <c r="B37" s="42" t="s">
        <v>144</v>
      </c>
      <c r="C37" s="273">
        <v>0.05</v>
      </c>
      <c r="D37" s="43">
        <v>-1.6524303437055115E-2</v>
      </c>
      <c r="E37" s="43">
        <v>-4.2102606171515115E-2</v>
      </c>
      <c r="F37" s="43">
        <v>0.28021595475698985</v>
      </c>
      <c r="G37" s="43">
        <v>6.5827969572849615E-2</v>
      </c>
      <c r="H37" s="273">
        <v>0.29762583818179511</v>
      </c>
      <c r="I37" s="43">
        <v>-3.9188925716513938E-2</v>
      </c>
      <c r="J37" s="43">
        <v>0.26628189236649108</v>
      </c>
      <c r="K37" s="43">
        <v>13.65</v>
      </c>
      <c r="L37" s="43">
        <v>-0.66561735896572427</v>
      </c>
      <c r="M37" s="273">
        <v>13.710303918954946</v>
      </c>
      <c r="N37" s="43">
        <v>-0.61</v>
      </c>
      <c r="O37" s="43">
        <f>O35/67684</f>
        <v>-0.59396607765498488</v>
      </c>
      <c r="P37" s="43">
        <f>P35/67473</f>
        <v>-0.56378106798274863</v>
      </c>
      <c r="Q37" s="43">
        <f>Q35/66977</f>
        <v>-6.1648028427669199E-2</v>
      </c>
      <c r="R37" s="273">
        <v>-1.84</v>
      </c>
      <c r="S37" s="43">
        <f>S35/65570</f>
        <v>-0.33137105383559556</v>
      </c>
      <c r="T37" s="43">
        <f>T35/66010</f>
        <v>-0.36309650053022269</v>
      </c>
      <c r="U37" s="43">
        <f>U35/66523</f>
        <v>-0.17625482915683297</v>
      </c>
      <c r="V37" s="43">
        <f>V35/67111</f>
        <v>-0.48944286331599884</v>
      </c>
      <c r="W37" s="273">
        <f>EPS!W16</f>
        <v>-1.3614261583011582</v>
      </c>
    </row>
    <row r="38" spans="2:23" ht="13.5" thickTop="1">
      <c r="B38" s="28"/>
      <c r="C38" s="274"/>
      <c r="D38" s="37"/>
      <c r="E38" s="37"/>
      <c r="F38" s="37"/>
      <c r="G38" s="37"/>
      <c r="H38" s="274"/>
      <c r="I38" s="37"/>
      <c r="J38" s="37"/>
      <c r="K38" s="37"/>
      <c r="L38" s="37"/>
      <c r="M38" s="274"/>
      <c r="N38" s="37"/>
      <c r="O38" s="37"/>
      <c r="P38" s="37"/>
      <c r="Q38" s="37"/>
      <c r="R38" s="274"/>
      <c r="S38" s="37"/>
      <c r="T38" s="37"/>
      <c r="U38" s="37"/>
      <c r="V38" s="37"/>
      <c r="W38" s="274"/>
    </row>
    <row r="39" spans="2:23" ht="13.5" thickBot="1">
      <c r="B39" s="44" t="s">
        <v>145</v>
      </c>
      <c r="C39" s="273">
        <v>-1.1000000000000001</v>
      </c>
      <c r="D39" s="43">
        <v>-0.33321893430953836</v>
      </c>
      <c r="E39" s="43">
        <v>-0.3179276834732126</v>
      </c>
      <c r="F39" s="43">
        <v>3.8073019091475403E-2</v>
      </c>
      <c r="G39" s="43">
        <v>-0.24181443508789782</v>
      </c>
      <c r="H39" s="273">
        <v>-0.85306308704414957</v>
      </c>
      <c r="I39" s="43">
        <v>-0.3615779554169104</v>
      </c>
      <c r="J39" s="43">
        <v>-0.53171160004131801</v>
      </c>
      <c r="K39" s="43">
        <v>-0.2</v>
      </c>
      <c r="L39" s="43">
        <v>-0.72750699131758889</v>
      </c>
      <c r="M39" s="273">
        <v>-1.7854838709677419</v>
      </c>
      <c r="N39" s="43">
        <v>-0.61</v>
      </c>
      <c r="O39" s="43">
        <f t="shared" ref="O39" si="18">O35/67684</f>
        <v>-0.59396607765498488</v>
      </c>
      <c r="P39" s="43">
        <f>P35/67473</f>
        <v>-0.56378106798274863</v>
      </c>
      <c r="Q39" s="43">
        <v>-7.0000000000000007E-2</v>
      </c>
      <c r="R39" s="273">
        <v>-1.85</v>
      </c>
      <c r="S39" s="43">
        <f>S35/65570</f>
        <v>-0.33137105383559556</v>
      </c>
      <c r="T39" s="43">
        <f>T35/66010</f>
        <v>-0.36309650053022269</v>
      </c>
      <c r="U39" s="43">
        <f>U35/66523</f>
        <v>-0.17625482915683297</v>
      </c>
      <c r="V39" s="43">
        <f>V35/67111</f>
        <v>-0.48944286331599884</v>
      </c>
      <c r="W39" s="273">
        <f>EPS!W16</f>
        <v>-1.3614261583011582</v>
      </c>
    </row>
    <row r="40" spans="2:23" ht="13.5" thickTop="1">
      <c r="B40" s="45"/>
    </row>
    <row r="41" spans="2:23">
      <c r="B41" s="45" t="s">
        <v>189</v>
      </c>
    </row>
    <row r="47" spans="2:23" ht="15">
      <c r="B47" s="11" t="s">
        <v>147</v>
      </c>
      <c r="C47" s="11"/>
      <c r="D47" s="12"/>
      <c r="E47" s="12"/>
      <c r="F47" s="12"/>
      <c r="G47" s="12"/>
      <c r="H47" s="12"/>
      <c r="I47" s="12"/>
      <c r="J47" s="13"/>
      <c r="K47" s="13"/>
      <c r="L47" s="13"/>
      <c r="M47" s="13"/>
      <c r="N47" s="12"/>
      <c r="O47" s="13"/>
      <c r="P47" s="13"/>
      <c r="Q47" s="13"/>
      <c r="R47" s="13"/>
      <c r="S47" s="12"/>
      <c r="T47" s="13"/>
      <c r="U47" s="10"/>
      <c r="V47" s="10"/>
      <c r="W47" s="13"/>
    </row>
    <row r="48" spans="2:23">
      <c r="B48" s="6" t="s">
        <v>155</v>
      </c>
      <c r="C48" s="6"/>
      <c r="J48" s="6"/>
      <c r="K48" s="6"/>
      <c r="L48" s="6"/>
      <c r="M48" s="6"/>
      <c r="O48" s="6"/>
      <c r="P48" s="6"/>
      <c r="Q48" s="6"/>
      <c r="R48" s="6"/>
      <c r="T48" s="6"/>
      <c r="U48" s="287"/>
      <c r="V48" s="287"/>
      <c r="W48" s="6"/>
    </row>
    <row r="49" spans="2:23">
      <c r="B49" s="46"/>
      <c r="C49" s="258" t="s">
        <v>122</v>
      </c>
      <c r="D49" s="15" t="s">
        <v>78</v>
      </c>
      <c r="E49" s="15" t="s">
        <v>79</v>
      </c>
      <c r="F49" s="15" t="s">
        <v>80</v>
      </c>
      <c r="G49" s="15" t="s">
        <v>81</v>
      </c>
      <c r="H49" s="258" t="s">
        <v>47</v>
      </c>
      <c r="I49" s="15" t="s">
        <v>82</v>
      </c>
      <c r="J49" s="15" t="s">
        <v>83</v>
      </c>
      <c r="K49" s="15" t="s">
        <v>84</v>
      </c>
      <c r="L49" s="15" t="s">
        <v>85</v>
      </c>
      <c r="M49" s="258" t="s">
        <v>86</v>
      </c>
      <c r="N49" s="15" t="s">
        <v>158</v>
      </c>
      <c r="O49" s="15" t="s">
        <v>157</v>
      </c>
      <c r="P49" s="15" t="s">
        <v>196</v>
      </c>
      <c r="Q49" s="15" t="str">
        <f>Q8</f>
        <v>Q4 20</v>
      </c>
      <c r="R49" s="258" t="str">
        <f>R8</f>
        <v>FY 20</v>
      </c>
      <c r="S49" s="15" t="s">
        <v>200</v>
      </c>
      <c r="T49" s="15" t="s">
        <v>201</v>
      </c>
      <c r="U49" s="15" t="s">
        <v>206</v>
      </c>
      <c r="V49" s="15" t="s">
        <v>212</v>
      </c>
      <c r="W49" s="258" t="str">
        <f>W8</f>
        <v>FY 21</v>
      </c>
    </row>
    <row r="50" spans="2:23">
      <c r="B50" s="16" t="s">
        <v>127</v>
      </c>
      <c r="C50" s="260">
        <v>174760</v>
      </c>
      <c r="D50" s="19">
        <v>46757</v>
      </c>
      <c r="E50" s="19">
        <v>54013</v>
      </c>
      <c r="F50" s="19">
        <v>59121</v>
      </c>
      <c r="G50" s="19">
        <v>60210</v>
      </c>
      <c r="H50" s="260">
        <v>220101</v>
      </c>
      <c r="I50" s="19">
        <v>62471</v>
      </c>
      <c r="J50" s="19">
        <v>64812</v>
      </c>
      <c r="K50" s="19">
        <v>80021</v>
      </c>
      <c r="L50" s="19">
        <v>78316</v>
      </c>
      <c r="M50" s="260">
        <v>285620</v>
      </c>
      <c r="N50" s="17">
        <v>82511</v>
      </c>
      <c r="O50" s="17">
        <v>90143</v>
      </c>
      <c r="P50" s="17">
        <v>102217</v>
      </c>
      <c r="Q50" s="17">
        <v>105701</v>
      </c>
      <c r="R50" s="277">
        <f>N50+O50+P50+Q50</f>
        <v>380572</v>
      </c>
      <c r="S50" s="17">
        <v>99437</v>
      </c>
      <c r="T50" s="17">
        <v>104661</v>
      </c>
      <c r="U50" s="17">
        <v>119753</v>
      </c>
      <c r="V50" s="17">
        <v>119175</v>
      </c>
      <c r="W50" s="277">
        <f>S50+T50+U50+V50</f>
        <v>443026</v>
      </c>
    </row>
    <row r="51" spans="2:23">
      <c r="B51" s="18"/>
      <c r="C51" s="260"/>
      <c r="D51" s="19"/>
      <c r="E51" s="19"/>
      <c r="F51" s="19"/>
      <c r="G51" s="19"/>
      <c r="H51" s="260"/>
      <c r="I51" s="19"/>
      <c r="J51" s="19"/>
      <c r="K51" s="19"/>
      <c r="L51" s="19"/>
      <c r="M51" s="260"/>
      <c r="N51" s="19"/>
      <c r="O51" s="19"/>
      <c r="P51" s="19"/>
      <c r="Q51" s="19"/>
      <c r="R51" s="260"/>
      <c r="S51" s="19"/>
      <c r="T51" s="19"/>
      <c r="U51" s="19"/>
      <c r="V51" s="19"/>
      <c r="W51" s="260"/>
    </row>
    <row r="52" spans="2:23">
      <c r="B52" s="20" t="s">
        <v>128</v>
      </c>
      <c r="C52" s="261">
        <v>77040</v>
      </c>
      <c r="D52" s="21">
        <v>17464.475640000008</v>
      </c>
      <c r="E52" s="21">
        <v>17340.575140000001</v>
      </c>
      <c r="F52" s="21">
        <v>17887.981889999999</v>
      </c>
      <c r="G52" s="21">
        <v>17156.751469999999</v>
      </c>
      <c r="H52" s="261">
        <v>69849.784140000018</v>
      </c>
      <c r="I52" s="21">
        <v>16972.494630000001</v>
      </c>
      <c r="J52" s="21">
        <v>20136.197210000002</v>
      </c>
      <c r="K52" s="21">
        <v>28900.194779999994</v>
      </c>
      <c r="L52" s="21">
        <v>31171.362280000001</v>
      </c>
      <c r="M52" s="261">
        <v>97180.248899999977</v>
      </c>
      <c r="N52" s="21">
        <v>31061</v>
      </c>
      <c r="O52" s="21">
        <v>33786</v>
      </c>
      <c r="P52" s="21">
        <v>31569</v>
      </c>
      <c r="Q52" s="21">
        <v>30745</v>
      </c>
      <c r="R52" s="261">
        <f>N52+O52+P52+Q52</f>
        <v>127161</v>
      </c>
      <c r="S52" s="21">
        <v>28384</v>
      </c>
      <c r="T52" s="21">
        <v>29634</v>
      </c>
      <c r="U52" s="21">
        <v>31884</v>
      </c>
      <c r="V52" s="21">
        <v>30756</v>
      </c>
      <c r="W52" s="261">
        <f>S52+T52+U52+V52</f>
        <v>120658</v>
      </c>
    </row>
    <row r="53" spans="2:23">
      <c r="B53" s="16" t="s">
        <v>129</v>
      </c>
      <c r="C53" s="262">
        <f t="shared" ref="C53:M53" si="19">C50-C52</f>
        <v>97720</v>
      </c>
      <c r="D53" s="22">
        <f t="shared" si="19"/>
        <v>29292.524359999992</v>
      </c>
      <c r="E53" s="22">
        <f t="shared" si="19"/>
        <v>36672.424859999999</v>
      </c>
      <c r="F53" s="22">
        <f t="shared" si="19"/>
        <v>41233.018110000005</v>
      </c>
      <c r="G53" s="22">
        <f t="shared" si="19"/>
        <v>43053.248529999997</v>
      </c>
      <c r="H53" s="262">
        <f t="shared" si="19"/>
        <v>150251.21586</v>
      </c>
      <c r="I53" s="22">
        <f t="shared" si="19"/>
        <v>45498.505369999999</v>
      </c>
      <c r="J53" s="22">
        <f t="shared" si="19"/>
        <v>44675.802790000002</v>
      </c>
      <c r="K53" s="22">
        <f t="shared" si="19"/>
        <v>51120.805220000009</v>
      </c>
      <c r="L53" s="22">
        <f t="shared" si="19"/>
        <v>47144.637719999999</v>
      </c>
      <c r="M53" s="262">
        <f t="shared" si="19"/>
        <v>188439.75110000002</v>
      </c>
      <c r="N53" s="22">
        <f t="shared" ref="N53:T53" si="20">N50-N52</f>
        <v>51450</v>
      </c>
      <c r="O53" s="22">
        <f t="shared" si="20"/>
        <v>56357</v>
      </c>
      <c r="P53" s="22">
        <f t="shared" si="20"/>
        <v>70648</v>
      </c>
      <c r="Q53" s="22">
        <f t="shared" si="20"/>
        <v>74956</v>
      </c>
      <c r="R53" s="262">
        <f t="shared" si="20"/>
        <v>253411</v>
      </c>
      <c r="S53" s="22">
        <f t="shared" si="20"/>
        <v>71053</v>
      </c>
      <c r="T53" s="22">
        <f t="shared" si="20"/>
        <v>75027</v>
      </c>
      <c r="U53" s="22">
        <f t="shared" ref="U53:W53" si="21">U50-U52</f>
        <v>87869</v>
      </c>
      <c r="V53" s="22">
        <f t="shared" si="21"/>
        <v>88419</v>
      </c>
      <c r="W53" s="262">
        <f t="shared" si="21"/>
        <v>322368</v>
      </c>
    </row>
    <row r="54" spans="2:23">
      <c r="B54" s="23" t="s">
        <v>130</v>
      </c>
      <c r="C54" s="263">
        <f t="shared" ref="C54:M54" si="22">C53/C50</f>
        <v>0.55916685740444039</v>
      </c>
      <c r="D54" s="24">
        <f t="shared" si="22"/>
        <v>0.62648425604722269</v>
      </c>
      <c r="E54" s="24">
        <f t="shared" si="22"/>
        <v>0.67895552663247738</v>
      </c>
      <c r="F54" s="24">
        <f t="shared" si="22"/>
        <v>0.69743438219921861</v>
      </c>
      <c r="G54" s="24">
        <f t="shared" si="22"/>
        <v>0.71505146204949344</v>
      </c>
      <c r="H54" s="263">
        <f t="shared" si="22"/>
        <v>0.68264667520819988</v>
      </c>
      <c r="I54" s="24">
        <f t="shared" si="22"/>
        <v>0.72831402362696285</v>
      </c>
      <c r="J54" s="24">
        <f t="shared" si="22"/>
        <v>0.68931375038573106</v>
      </c>
      <c r="K54" s="24">
        <f t="shared" si="22"/>
        <v>0.63884236912810399</v>
      </c>
      <c r="L54" s="24">
        <f t="shared" si="22"/>
        <v>0.60197964298483064</v>
      </c>
      <c r="M54" s="263">
        <f t="shared" si="22"/>
        <v>0.65975684861004136</v>
      </c>
      <c r="N54" s="24">
        <f t="shared" ref="N54:T54" si="23">N53/N50</f>
        <v>0.62355322320660278</v>
      </c>
      <c r="O54" s="24">
        <f t="shared" si="23"/>
        <v>0.62519552266953615</v>
      </c>
      <c r="P54" s="24">
        <f t="shared" si="23"/>
        <v>0.69115704824050794</v>
      </c>
      <c r="Q54" s="24">
        <f t="shared" si="23"/>
        <v>0.7091323639322239</v>
      </c>
      <c r="R54" s="263">
        <f>R53/R50</f>
        <v>0.66586874494182446</v>
      </c>
      <c r="S54" s="24">
        <f t="shared" si="23"/>
        <v>0.71455293301286238</v>
      </c>
      <c r="T54" s="24">
        <f t="shared" si="23"/>
        <v>0.71685728208215094</v>
      </c>
      <c r="U54" s="24">
        <f t="shared" ref="U54:V54" si="24">U53/U50</f>
        <v>0.73375197281070204</v>
      </c>
      <c r="V54" s="24">
        <f t="shared" si="24"/>
        <v>0.74192573945877915</v>
      </c>
      <c r="W54" s="263">
        <f>W53/W50</f>
        <v>0.72765029591942687</v>
      </c>
    </row>
    <row r="55" spans="2:23">
      <c r="B55" s="23"/>
      <c r="C55" s="262"/>
      <c r="D55" s="25"/>
      <c r="E55" s="25"/>
      <c r="F55" s="25"/>
      <c r="G55" s="25"/>
      <c r="H55" s="262"/>
      <c r="I55" s="25"/>
      <c r="J55" s="25"/>
      <c r="K55" s="25"/>
      <c r="L55" s="25"/>
      <c r="M55" s="262"/>
      <c r="N55" s="25"/>
      <c r="O55" s="25"/>
      <c r="P55" s="25"/>
      <c r="Q55" s="25"/>
      <c r="R55" s="262"/>
      <c r="S55" s="25"/>
      <c r="T55" s="25"/>
      <c r="U55" s="25"/>
      <c r="V55" s="25"/>
      <c r="W55" s="262"/>
    </row>
    <row r="56" spans="2:23">
      <c r="B56" s="16" t="s">
        <v>131</v>
      </c>
      <c r="C56" s="262"/>
      <c r="D56" s="25"/>
      <c r="E56" s="25"/>
      <c r="F56" s="25"/>
      <c r="G56" s="25"/>
      <c r="H56" s="262"/>
      <c r="I56" s="25"/>
      <c r="J56" s="25"/>
      <c r="K56" s="25"/>
      <c r="L56" s="25"/>
      <c r="M56" s="262"/>
      <c r="N56" s="25"/>
      <c r="O56" s="25"/>
      <c r="P56" s="25"/>
      <c r="Q56" s="25"/>
      <c r="R56" s="262"/>
      <c r="S56" s="25"/>
      <c r="T56" s="25"/>
      <c r="U56" s="25"/>
      <c r="V56" s="25"/>
      <c r="W56" s="262"/>
    </row>
    <row r="57" spans="2:23">
      <c r="B57" s="16" t="s">
        <v>132</v>
      </c>
      <c r="C57" s="262">
        <v>38854</v>
      </c>
      <c r="D57" s="25">
        <v>11147.272679999998</v>
      </c>
      <c r="E57" s="25">
        <v>11963.306939999997</v>
      </c>
      <c r="F57" s="25">
        <v>11134.390079999999</v>
      </c>
      <c r="G57" s="19">
        <v>10825.366950000003</v>
      </c>
      <c r="H57" s="260">
        <v>45070.336649999997</v>
      </c>
      <c r="I57" s="25">
        <v>12628.242430000002</v>
      </c>
      <c r="J57" s="25">
        <v>13194.923490000003</v>
      </c>
      <c r="K57" s="25">
        <v>14524.533150000001</v>
      </c>
      <c r="L57" s="25">
        <v>17124.51493999999</v>
      </c>
      <c r="M57" s="260">
        <v>57472.214009999989</v>
      </c>
      <c r="N57" s="25">
        <v>19271</v>
      </c>
      <c r="O57" s="25">
        <v>20099</v>
      </c>
      <c r="P57" s="25">
        <v>20941</v>
      </c>
      <c r="Q57" s="25">
        <v>22410</v>
      </c>
      <c r="R57" s="262">
        <f>N57+O57+P57+Q57</f>
        <v>82721</v>
      </c>
      <c r="S57" s="25">
        <v>21103</v>
      </c>
      <c r="T57" s="25">
        <v>23322</v>
      </c>
      <c r="U57" s="25">
        <v>23232</v>
      </c>
      <c r="V57" s="25">
        <v>28494</v>
      </c>
      <c r="W57" s="262">
        <f>S57+T57+U57+V57</f>
        <v>96151</v>
      </c>
    </row>
    <row r="58" spans="2:23">
      <c r="B58" s="16" t="s">
        <v>133</v>
      </c>
      <c r="C58" s="262">
        <v>51765</v>
      </c>
      <c r="D58" s="25">
        <v>18636.69076999999</v>
      </c>
      <c r="E58" s="25">
        <v>20251.063999999998</v>
      </c>
      <c r="F58" s="25">
        <v>21581.276410000002</v>
      </c>
      <c r="G58" s="19">
        <v>24789.601999999999</v>
      </c>
      <c r="H58" s="260">
        <v>85258.63317999999</v>
      </c>
      <c r="I58" s="25">
        <v>23401.850079999989</v>
      </c>
      <c r="J58" s="25">
        <v>26085.936799999992</v>
      </c>
      <c r="K58" s="25">
        <v>30593.722259999984</v>
      </c>
      <c r="L58" s="25">
        <v>34486.843959999998</v>
      </c>
      <c r="M58" s="260">
        <v>114568.35309999996</v>
      </c>
      <c r="N58" s="25">
        <v>34224</v>
      </c>
      <c r="O58" s="25">
        <v>35446</v>
      </c>
      <c r="P58" s="25">
        <v>36323</v>
      </c>
      <c r="Q58" s="25">
        <v>44886</v>
      </c>
      <c r="R58" s="262">
        <f>N58+O58+P58+Q58</f>
        <v>150879</v>
      </c>
      <c r="S58" s="25">
        <v>31504</v>
      </c>
      <c r="T58" s="25">
        <v>32472</v>
      </c>
      <c r="U58" s="25">
        <v>34692</v>
      </c>
      <c r="V58" s="25">
        <v>38474</v>
      </c>
      <c r="W58" s="262">
        <f>S58+T58+U58+V58</f>
        <v>137142</v>
      </c>
    </row>
    <row r="59" spans="2:23">
      <c r="B59" s="16" t="s">
        <v>134</v>
      </c>
      <c r="C59" s="262">
        <v>66788.666339999967</v>
      </c>
      <c r="D59" s="25">
        <v>13852.466339999999</v>
      </c>
      <c r="E59" s="25">
        <v>15136.051769999998</v>
      </c>
      <c r="F59" s="25">
        <v>12525.441140000008</v>
      </c>
      <c r="G59" s="19">
        <v>14662.241589999998</v>
      </c>
      <c r="H59" s="260">
        <v>56176.200840000005</v>
      </c>
      <c r="I59" s="25">
        <v>15301.708509999997</v>
      </c>
      <c r="J59" s="25">
        <v>19767.372919999994</v>
      </c>
      <c r="K59" s="25">
        <v>17070.869149999999</v>
      </c>
      <c r="L59" s="25">
        <v>17962.69341</v>
      </c>
      <c r="M59" s="260">
        <v>70102.643989999997</v>
      </c>
      <c r="N59" s="25">
        <v>20395</v>
      </c>
      <c r="O59" s="25">
        <v>20654</v>
      </c>
      <c r="P59" s="25">
        <v>18972</v>
      </c>
      <c r="Q59" s="25">
        <v>23653</v>
      </c>
      <c r="R59" s="262">
        <f>N59+O59+P59+Q59</f>
        <v>83674</v>
      </c>
      <c r="S59" s="25">
        <v>17062</v>
      </c>
      <c r="T59" s="25">
        <v>17892</v>
      </c>
      <c r="U59" s="25">
        <v>17625</v>
      </c>
      <c r="V59" s="25">
        <v>20713</v>
      </c>
      <c r="W59" s="262">
        <f>S59+T59+U59+V59</f>
        <v>73292</v>
      </c>
    </row>
    <row r="60" spans="2:23">
      <c r="B60" s="20" t="s">
        <v>135</v>
      </c>
      <c r="C60" s="278" t="s">
        <v>152</v>
      </c>
      <c r="D60" s="47" t="s">
        <v>152</v>
      </c>
      <c r="E60" s="47" t="s">
        <v>152</v>
      </c>
      <c r="F60" s="47" t="s">
        <v>152</v>
      </c>
      <c r="G60" s="47" t="s">
        <v>152</v>
      </c>
      <c r="H60" s="278" t="s">
        <v>152</v>
      </c>
      <c r="I60" s="47" t="s">
        <v>152</v>
      </c>
      <c r="J60" s="47" t="s">
        <v>152</v>
      </c>
      <c r="K60" s="47" t="s">
        <v>152</v>
      </c>
      <c r="L60" s="47" t="s">
        <v>152</v>
      </c>
      <c r="M60" s="278" t="s">
        <v>152</v>
      </c>
      <c r="N60" s="40">
        <v>0</v>
      </c>
      <c r="O60" s="40">
        <v>0</v>
      </c>
      <c r="P60" s="40">
        <v>0</v>
      </c>
      <c r="Q60" s="40">
        <v>0</v>
      </c>
      <c r="R60" s="264">
        <f>N60+O60+P60+Q60</f>
        <v>0</v>
      </c>
      <c r="S60" s="40">
        <v>0</v>
      </c>
      <c r="T60" s="40">
        <v>0</v>
      </c>
      <c r="U60" s="40">
        <v>0</v>
      </c>
      <c r="V60" s="40">
        <v>0</v>
      </c>
      <c r="W60" s="291">
        <f>S60+T60+U60+V60</f>
        <v>0</v>
      </c>
    </row>
    <row r="61" spans="2:23">
      <c r="B61" s="16" t="s">
        <v>136</v>
      </c>
      <c r="C61" s="262">
        <f t="shared" ref="C61:M61" si="25">SUM(C57:C60)</f>
        <v>157407.66633999997</v>
      </c>
      <c r="D61" s="25">
        <f t="shared" si="25"/>
        <v>43636.429789999987</v>
      </c>
      <c r="E61" s="25">
        <f t="shared" si="25"/>
        <v>47350.422709999992</v>
      </c>
      <c r="F61" s="25">
        <f t="shared" si="25"/>
        <v>45241.107630000013</v>
      </c>
      <c r="G61" s="25">
        <f t="shared" si="25"/>
        <v>50277.21054</v>
      </c>
      <c r="H61" s="262">
        <f t="shared" si="25"/>
        <v>186505.17066999999</v>
      </c>
      <c r="I61" s="25">
        <f t="shared" si="25"/>
        <v>51331.801019999984</v>
      </c>
      <c r="J61" s="25">
        <f t="shared" si="25"/>
        <v>59048.233209999991</v>
      </c>
      <c r="K61" s="25">
        <f t="shared" si="25"/>
        <v>62189.124559999982</v>
      </c>
      <c r="L61" s="25">
        <f t="shared" si="25"/>
        <v>69574.052309999999</v>
      </c>
      <c r="M61" s="262">
        <f t="shared" si="25"/>
        <v>242143.21109999996</v>
      </c>
      <c r="N61" s="25">
        <f t="shared" ref="N61:S61" si="26">SUM(N57:N60)</f>
        <v>73890</v>
      </c>
      <c r="O61" s="25">
        <f t="shared" si="26"/>
        <v>76199</v>
      </c>
      <c r="P61" s="25">
        <f t="shared" si="26"/>
        <v>76236</v>
      </c>
      <c r="Q61" s="25">
        <f t="shared" si="26"/>
        <v>90949</v>
      </c>
      <c r="R61" s="262">
        <f>SUM(R57:R60)</f>
        <v>317274</v>
      </c>
      <c r="S61" s="25">
        <f t="shared" si="26"/>
        <v>69669</v>
      </c>
      <c r="T61" s="25">
        <f>SUM(T57:T60)</f>
        <v>73686</v>
      </c>
      <c r="U61" s="25">
        <f>SUM(U57:U60)</f>
        <v>75549</v>
      </c>
      <c r="V61" s="25">
        <f>SUM(V57:V60)</f>
        <v>87681</v>
      </c>
      <c r="W61" s="262">
        <f>SUM(W57:W60)</f>
        <v>306585</v>
      </c>
    </row>
    <row r="62" spans="2:23">
      <c r="B62" s="28"/>
      <c r="C62" s="265"/>
      <c r="D62" s="29"/>
      <c r="E62" s="29"/>
      <c r="F62" s="29"/>
      <c r="G62" s="29"/>
      <c r="H62" s="275"/>
      <c r="I62" s="29"/>
      <c r="J62" s="29"/>
      <c r="K62" s="29"/>
      <c r="L62" s="29"/>
      <c r="M62" s="265"/>
      <c r="N62" s="29"/>
      <c r="O62" s="29"/>
      <c r="P62" s="29"/>
      <c r="Q62" s="29"/>
      <c r="R62" s="265"/>
      <c r="S62" s="29"/>
      <c r="T62" s="29"/>
      <c r="U62" s="29"/>
      <c r="V62" s="29"/>
      <c r="W62" s="265"/>
    </row>
    <row r="63" spans="2:23">
      <c r="B63" s="28" t="s">
        <v>202</v>
      </c>
      <c r="C63" s="266">
        <f t="shared" ref="C63:M63" si="27">C53-C61</f>
        <v>-59687.666339999967</v>
      </c>
      <c r="D63" s="30">
        <f t="shared" si="27"/>
        <v>-14343.905429999995</v>
      </c>
      <c r="E63" s="30">
        <f t="shared" si="27"/>
        <v>-10677.997849999992</v>
      </c>
      <c r="F63" s="30">
        <f t="shared" si="27"/>
        <v>-4008.0895200000086</v>
      </c>
      <c r="G63" s="30">
        <f t="shared" si="27"/>
        <v>-7223.9620100000029</v>
      </c>
      <c r="H63" s="266">
        <f t="shared" si="27"/>
        <v>-36253.954809999996</v>
      </c>
      <c r="I63" s="30">
        <f t="shared" si="27"/>
        <v>-5833.2956499999855</v>
      </c>
      <c r="J63" s="30">
        <f t="shared" si="27"/>
        <v>-14372.43041999999</v>
      </c>
      <c r="K63" s="30">
        <f t="shared" si="27"/>
        <v>-11068.319339999973</v>
      </c>
      <c r="L63" s="30">
        <f t="shared" si="27"/>
        <v>-22429.41459</v>
      </c>
      <c r="M63" s="266">
        <f t="shared" si="27"/>
        <v>-53703.459999999934</v>
      </c>
      <c r="N63" s="30">
        <f t="shared" ref="N63:T63" si="28">N53-N61</f>
        <v>-22440</v>
      </c>
      <c r="O63" s="30">
        <f t="shared" si="28"/>
        <v>-19842</v>
      </c>
      <c r="P63" s="30">
        <f t="shared" si="28"/>
        <v>-5588</v>
      </c>
      <c r="Q63" s="30">
        <f t="shared" si="28"/>
        <v>-15993</v>
      </c>
      <c r="R63" s="266">
        <f>R53-R61</f>
        <v>-63863</v>
      </c>
      <c r="S63" s="30">
        <f t="shared" si="28"/>
        <v>1384</v>
      </c>
      <c r="T63" s="30">
        <f t="shared" si="28"/>
        <v>1341</v>
      </c>
      <c r="U63" s="30">
        <f t="shared" ref="U63:V63" si="29">U53-U61</f>
        <v>12320</v>
      </c>
      <c r="V63" s="30">
        <f t="shared" si="29"/>
        <v>738</v>
      </c>
      <c r="W63" s="266">
        <f>W53-W61</f>
        <v>15783</v>
      </c>
    </row>
    <row r="64" spans="2:23">
      <c r="B64" s="31" t="s">
        <v>138</v>
      </c>
      <c r="C64" s="267">
        <f t="shared" ref="C64:M64" si="30">C63/C50</f>
        <v>-0.34154077786678855</v>
      </c>
      <c r="D64" s="32">
        <f t="shared" si="30"/>
        <v>-0.3067755722137861</v>
      </c>
      <c r="E64" s="32">
        <f t="shared" si="30"/>
        <v>-0.19769310814063268</v>
      </c>
      <c r="F64" s="32">
        <f t="shared" si="30"/>
        <v>-6.7794684122393201E-2</v>
      </c>
      <c r="G64" s="32">
        <f t="shared" si="30"/>
        <v>-0.11997943879754198</v>
      </c>
      <c r="H64" s="267">
        <f t="shared" si="30"/>
        <v>-0.16471508448394145</v>
      </c>
      <c r="I64" s="32">
        <f t="shared" si="30"/>
        <v>-9.3376056890396908E-2</v>
      </c>
      <c r="J64" s="32">
        <f t="shared" si="30"/>
        <v>-0.2217556998703942</v>
      </c>
      <c r="K64" s="32">
        <f t="shared" si="30"/>
        <v>-0.13831768335811814</v>
      </c>
      <c r="L64" s="32">
        <f t="shared" si="30"/>
        <v>-0.2863963250165994</v>
      </c>
      <c r="M64" s="267">
        <f t="shared" si="30"/>
        <v>-0.18802415797213057</v>
      </c>
      <c r="N64" s="32">
        <f t="shared" ref="N64:T64" si="31">N63/N50</f>
        <v>-0.27196373816824421</v>
      </c>
      <c r="O64" s="32">
        <f t="shared" si="31"/>
        <v>-0.22011692532975383</v>
      </c>
      <c r="P64" s="32">
        <f t="shared" si="31"/>
        <v>-5.4668010213565259E-2</v>
      </c>
      <c r="Q64" s="32">
        <f t="shared" si="31"/>
        <v>-0.1513041503864675</v>
      </c>
      <c r="R64" s="267">
        <f t="shared" si="31"/>
        <v>-0.1678079312193225</v>
      </c>
      <c r="S64" s="32">
        <f t="shared" si="31"/>
        <v>1.3918360368876776E-2</v>
      </c>
      <c r="T64" s="32">
        <f t="shared" si="31"/>
        <v>1.2812795597213862E-2</v>
      </c>
      <c r="U64" s="32">
        <f t="shared" ref="U64:W64" si="32">U63/U50</f>
        <v>0.10287842475762611</v>
      </c>
      <c r="V64" s="32">
        <f t="shared" si="32"/>
        <v>6.1925739458779105E-3</v>
      </c>
      <c r="W64" s="267">
        <f t="shared" si="32"/>
        <v>3.5625448619268398E-2</v>
      </c>
    </row>
    <row r="65" spans="2:23">
      <c r="B65" s="28"/>
      <c r="C65" s="268"/>
      <c r="D65" s="30"/>
      <c r="E65" s="33"/>
      <c r="F65" s="33"/>
      <c r="G65" s="34"/>
      <c r="H65" s="276"/>
      <c r="I65" s="33"/>
      <c r="J65" s="33"/>
      <c r="K65" s="33"/>
      <c r="L65" s="33"/>
      <c r="M65" s="268"/>
      <c r="N65" s="33"/>
      <c r="O65" s="33"/>
      <c r="P65" s="33"/>
      <c r="Q65" s="33"/>
      <c r="R65" s="268"/>
      <c r="S65" s="33"/>
      <c r="T65" s="33"/>
      <c r="U65" s="33"/>
      <c r="V65" s="33"/>
      <c r="W65" s="268"/>
    </row>
    <row r="66" spans="2:23">
      <c r="B66" s="35" t="s">
        <v>139</v>
      </c>
      <c r="C66" s="269">
        <v>652</v>
      </c>
      <c r="D66" s="36">
        <v>580</v>
      </c>
      <c r="E66" s="36">
        <v>263</v>
      </c>
      <c r="F66" s="36">
        <v>432</v>
      </c>
      <c r="G66" s="36">
        <v>387</v>
      </c>
      <c r="H66" s="269">
        <v>502</v>
      </c>
      <c r="I66" s="36">
        <v>356</v>
      </c>
      <c r="J66" s="36">
        <v>-281</v>
      </c>
      <c r="K66" s="36">
        <v>10404</v>
      </c>
      <c r="L66" s="36">
        <v>8311</v>
      </c>
      <c r="M66" s="261">
        <v>18790</v>
      </c>
      <c r="N66" s="36">
        <v>5882</v>
      </c>
      <c r="O66" s="36">
        <v>4780</v>
      </c>
      <c r="P66" s="36">
        <v>3158</v>
      </c>
      <c r="Q66" s="36">
        <v>1565</v>
      </c>
      <c r="R66" s="264">
        <f>N66+O66+P66+Q66</f>
        <v>15385</v>
      </c>
      <c r="S66" s="36">
        <v>463</v>
      </c>
      <c r="T66" s="36">
        <f>T25</f>
        <v>-225</v>
      </c>
      <c r="U66" s="36">
        <f>U25</f>
        <v>-86</v>
      </c>
      <c r="V66" s="36">
        <f>V25</f>
        <v>-404</v>
      </c>
      <c r="W66" s="270">
        <f>S66+T66+U66+V66</f>
        <v>-252</v>
      </c>
    </row>
    <row r="67" spans="2:23">
      <c r="B67" s="28"/>
      <c r="C67" s="265"/>
      <c r="D67" s="29"/>
      <c r="E67" s="29"/>
      <c r="F67" s="29"/>
      <c r="G67" s="29"/>
      <c r="H67" s="265"/>
      <c r="I67" s="29"/>
      <c r="J67" s="29"/>
      <c r="K67" s="29"/>
      <c r="L67" s="29"/>
      <c r="M67" s="265"/>
      <c r="N67" s="29"/>
      <c r="O67" s="29"/>
      <c r="P67" s="29"/>
      <c r="Q67" s="29"/>
      <c r="R67" s="265"/>
      <c r="S67" s="29"/>
      <c r="T67" s="29"/>
      <c r="U67" s="29"/>
      <c r="V67" s="29"/>
      <c r="W67" s="265"/>
    </row>
    <row r="68" spans="2:23">
      <c r="B68" s="28" t="s">
        <v>204</v>
      </c>
      <c r="C68" s="266">
        <v>-59035.522600000448</v>
      </c>
      <c r="D68" s="30">
        <v>-14924</v>
      </c>
      <c r="E68" s="30">
        <v>-10415</v>
      </c>
      <c r="F68" s="30">
        <v>-3575.9000000000015</v>
      </c>
      <c r="G68" s="30">
        <v>-6836</v>
      </c>
      <c r="H68" s="266">
        <v>-35750.9</v>
      </c>
      <c r="I68" s="30">
        <v>-5477</v>
      </c>
      <c r="J68" s="30">
        <v>-14654</v>
      </c>
      <c r="K68" s="30">
        <v>-664</v>
      </c>
      <c r="L68" s="30">
        <v>-14119</v>
      </c>
      <c r="M68" s="266">
        <v>-34914</v>
      </c>
      <c r="N68" s="30">
        <f t="shared" ref="N68:T68" si="33">N63+N66</f>
        <v>-16558</v>
      </c>
      <c r="O68" s="30">
        <f t="shared" si="33"/>
        <v>-15062</v>
      </c>
      <c r="P68" s="30">
        <f t="shared" si="33"/>
        <v>-2430</v>
      </c>
      <c r="Q68" s="30">
        <f t="shared" si="33"/>
        <v>-14428</v>
      </c>
      <c r="R68" s="266">
        <f t="shared" si="33"/>
        <v>-48478</v>
      </c>
      <c r="S68" s="30">
        <f t="shared" si="33"/>
        <v>1847</v>
      </c>
      <c r="T68" s="30">
        <f t="shared" si="33"/>
        <v>1116</v>
      </c>
      <c r="U68" s="30">
        <f t="shared" ref="U68:W68" si="34">U63+U66</f>
        <v>12234</v>
      </c>
      <c r="V68" s="30">
        <f t="shared" si="34"/>
        <v>334</v>
      </c>
      <c r="W68" s="266">
        <f t="shared" si="34"/>
        <v>15531</v>
      </c>
    </row>
    <row r="69" spans="2:23">
      <c r="B69" s="28"/>
      <c r="C69" s="266"/>
      <c r="D69" s="30"/>
      <c r="E69" s="30"/>
      <c r="F69" s="30"/>
      <c r="G69" s="30"/>
      <c r="H69" s="266"/>
      <c r="I69" s="30"/>
      <c r="J69" s="30"/>
      <c r="K69" s="30"/>
      <c r="L69" s="30"/>
      <c r="M69" s="266"/>
      <c r="N69" s="30"/>
      <c r="O69" s="30"/>
      <c r="P69" s="30"/>
      <c r="Q69" s="30"/>
      <c r="R69" s="266"/>
      <c r="S69" s="30"/>
      <c r="T69" s="30"/>
      <c r="U69" s="30"/>
      <c r="V69" s="30"/>
      <c r="W69" s="266"/>
    </row>
    <row r="70" spans="2:23">
      <c r="B70" s="35" t="s">
        <v>6</v>
      </c>
      <c r="C70" s="270">
        <v>-22797</v>
      </c>
      <c r="D70" s="27">
        <v>-4556</v>
      </c>
      <c r="E70" s="27">
        <v>-3164</v>
      </c>
      <c r="F70" s="27">
        <v>-2514</v>
      </c>
      <c r="G70" s="27">
        <v>-2352</v>
      </c>
      <c r="H70" s="270">
        <v>-12586</v>
      </c>
      <c r="I70" s="27">
        <v>-1078</v>
      </c>
      <c r="J70" s="27">
        <v>-3790</v>
      </c>
      <c r="K70" s="27">
        <v>-2941</v>
      </c>
      <c r="L70" s="27">
        <v>-5155</v>
      </c>
      <c r="M70" s="269">
        <v>-12964</v>
      </c>
      <c r="N70" s="27">
        <v>-216</v>
      </c>
      <c r="O70" s="27">
        <v>190</v>
      </c>
      <c r="P70" s="27">
        <v>-227</v>
      </c>
      <c r="Q70" s="27">
        <v>-11199</v>
      </c>
      <c r="R70" s="270">
        <f>N70+O70+P70+Q70</f>
        <v>-11452</v>
      </c>
      <c r="S70" s="36">
        <v>934</v>
      </c>
      <c r="T70" s="27">
        <v>-1291</v>
      </c>
      <c r="U70" s="27">
        <v>2347</v>
      </c>
      <c r="V70" s="27">
        <v>-2628</v>
      </c>
      <c r="W70" s="270">
        <f>S70+T70+U70+V70</f>
        <v>-638</v>
      </c>
    </row>
    <row r="71" spans="2:23">
      <c r="B71" s="28"/>
      <c r="C71" s="265"/>
      <c r="D71" s="29"/>
      <c r="E71" s="29"/>
      <c r="F71" s="29"/>
      <c r="G71" s="29"/>
      <c r="H71" s="265"/>
      <c r="I71" s="29"/>
      <c r="J71" s="29"/>
      <c r="K71" s="29"/>
      <c r="L71" s="29"/>
      <c r="M71" s="265"/>
      <c r="N71" s="29"/>
      <c r="O71" s="29"/>
      <c r="P71" s="29"/>
      <c r="Q71" s="29"/>
      <c r="R71" s="265"/>
      <c r="S71" s="29"/>
      <c r="T71" s="29"/>
      <c r="U71" s="29"/>
      <c r="V71" s="29"/>
      <c r="W71" s="265"/>
    </row>
    <row r="72" spans="2:23">
      <c r="B72" s="37" t="s">
        <v>141</v>
      </c>
      <c r="C72" s="271">
        <f>C68-C70</f>
        <v>-36238.522600000448</v>
      </c>
      <c r="D72" s="38">
        <f t="shared" ref="D72:M72" si="35">D68-D70</f>
        <v>-10368</v>
      </c>
      <c r="E72" s="38">
        <f t="shared" si="35"/>
        <v>-7251</v>
      </c>
      <c r="F72" s="38">
        <f t="shared" si="35"/>
        <v>-1061.9000000000015</v>
      </c>
      <c r="G72" s="38">
        <f t="shared" si="35"/>
        <v>-4484</v>
      </c>
      <c r="H72" s="271">
        <f t="shared" si="35"/>
        <v>-23164.9</v>
      </c>
      <c r="I72" s="38">
        <f t="shared" si="35"/>
        <v>-4399</v>
      </c>
      <c r="J72" s="38">
        <f t="shared" si="35"/>
        <v>-10864</v>
      </c>
      <c r="K72" s="38">
        <f t="shared" si="35"/>
        <v>2277</v>
      </c>
      <c r="L72" s="38">
        <f t="shared" si="35"/>
        <v>-8964</v>
      </c>
      <c r="M72" s="271">
        <f t="shared" si="35"/>
        <v>-21950</v>
      </c>
      <c r="N72" s="38">
        <f t="shared" ref="N72:P72" si="36">N68-N70</f>
        <v>-16342</v>
      </c>
      <c r="O72" s="38">
        <f>O68-O70</f>
        <v>-15252</v>
      </c>
      <c r="P72" s="38">
        <f t="shared" si="36"/>
        <v>-2203</v>
      </c>
      <c r="Q72" s="38">
        <f t="shared" ref="Q72:T72" si="37">Q68-Q70</f>
        <v>-3229</v>
      </c>
      <c r="R72" s="271">
        <f t="shared" si="37"/>
        <v>-37026</v>
      </c>
      <c r="S72" s="38">
        <f t="shared" si="37"/>
        <v>913</v>
      </c>
      <c r="T72" s="38">
        <f t="shared" si="37"/>
        <v>2407</v>
      </c>
      <c r="U72" s="38">
        <f t="shared" ref="U72:W72" si="38">U68-U70</f>
        <v>9887</v>
      </c>
      <c r="V72" s="38">
        <f t="shared" si="38"/>
        <v>2962</v>
      </c>
      <c r="W72" s="271">
        <f t="shared" si="38"/>
        <v>16169</v>
      </c>
    </row>
    <row r="73" spans="2:23">
      <c r="B73" s="37"/>
      <c r="C73" s="271"/>
      <c r="D73" s="38"/>
      <c r="E73" s="38"/>
      <c r="F73" s="38"/>
      <c r="G73" s="38"/>
      <c r="H73" s="271"/>
      <c r="I73" s="38"/>
      <c r="J73" s="38"/>
      <c r="K73" s="38"/>
      <c r="L73" s="38"/>
      <c r="M73" s="271"/>
      <c r="N73" s="29"/>
      <c r="O73" s="29"/>
      <c r="P73" s="29"/>
      <c r="Q73" s="29"/>
      <c r="R73" s="265"/>
      <c r="S73" s="29"/>
      <c r="T73" s="29"/>
      <c r="U73" s="29"/>
      <c r="V73" s="29"/>
      <c r="W73" s="265"/>
    </row>
    <row r="74" spans="2:23" ht="13.5" thickBot="1">
      <c r="B74" s="42" t="s">
        <v>144</v>
      </c>
      <c r="C74" s="273">
        <v>-0.47</v>
      </c>
      <c r="D74" s="43">
        <v>-0.13</v>
      </c>
      <c r="E74" s="43">
        <v>-0.09</v>
      </c>
      <c r="F74" s="43">
        <v>-0.01</v>
      </c>
      <c r="G74" s="43">
        <v>-0.06</v>
      </c>
      <c r="H74" s="273">
        <v>-0.28999999999999998</v>
      </c>
      <c r="I74" s="43">
        <v>-0.06</v>
      </c>
      <c r="J74" s="43">
        <v>-0.14000000000000001</v>
      </c>
      <c r="K74" s="43">
        <v>0.03</v>
      </c>
      <c r="L74" s="43">
        <v>-0.13</v>
      </c>
      <c r="M74" s="273">
        <v>-0.28999999999999998</v>
      </c>
      <c r="N74" s="43">
        <v>-0.24</v>
      </c>
      <c r="O74" s="43">
        <f t="shared" ref="O74" si="39">O72/67684</f>
        <v>-0.22534129188582236</v>
      </c>
      <c r="P74" s="43">
        <v>-0.03</v>
      </c>
      <c r="Q74" s="43">
        <v>-0.05</v>
      </c>
      <c r="R74" s="273">
        <v>-0.55000000000000004</v>
      </c>
      <c r="S74" s="43">
        <f>S72/65570</f>
        <v>1.3924050632911392E-2</v>
      </c>
      <c r="T74" s="43">
        <f>T72/68804</f>
        <v>3.4983431195860705E-2</v>
      </c>
      <c r="U74" s="43">
        <f>U72/69775</f>
        <v>0.14169831601576496</v>
      </c>
      <c r="V74" s="43">
        <f>V72/67111</f>
        <v>4.4135834661977916E-2</v>
      </c>
      <c r="W74" s="273">
        <f>EPS!W33</f>
        <v>0.23445905775560807</v>
      </c>
    </row>
    <row r="75" spans="2:23" ht="13.5" thickTop="1">
      <c r="B75" s="28"/>
      <c r="C75" s="37"/>
      <c r="D75" s="37"/>
      <c r="E75" s="37"/>
      <c r="F75" s="37"/>
      <c r="G75" s="37"/>
      <c r="H75" s="37"/>
      <c r="I75" s="37"/>
      <c r="J75" s="37"/>
      <c r="K75" s="37"/>
      <c r="L75" s="37"/>
      <c r="M75" s="37"/>
      <c r="N75" s="37"/>
      <c r="O75" s="37"/>
      <c r="P75" s="37"/>
      <c r="Q75" s="37"/>
      <c r="R75" s="37"/>
      <c r="S75" s="37"/>
      <c r="T75" s="37"/>
      <c r="U75" s="37"/>
      <c r="V75" s="37"/>
      <c r="W75" s="37"/>
    </row>
    <row r="76" spans="2:23">
      <c r="B76" s="45" t="s">
        <v>189</v>
      </c>
    </row>
    <row r="77" spans="2:23">
      <c r="B77" s="1" t="s">
        <v>153</v>
      </c>
    </row>
  </sheetData>
  <hyperlinks>
    <hyperlink ref="C5" location="Cover!A1" display="Back to Main" xr:uid="{F910924E-D5EF-4616-9A37-E1A9A67C68E7}"/>
  </hyperlinks>
  <pageMargins left="0.25" right="0.25" top="0.5" bottom="0.5" header="0.3" footer="0.55000000000000004"/>
  <pageSetup scale="45"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A77"/>
  <sheetViews>
    <sheetView showGridLines="0" view="pageBreakPreview" zoomScale="80" zoomScaleNormal="80" zoomScaleSheetLayoutView="80" workbookViewId="0">
      <pane xSplit="2" ySplit="8" topLeftCell="G24" activePane="bottomRight" state="frozen"/>
      <selection pane="topRight"/>
      <selection pane="bottomLeft"/>
      <selection pane="bottomRight" activeCell="AA36" sqref="AA36"/>
    </sheetView>
  </sheetViews>
  <sheetFormatPr defaultColWidth="9.140625" defaultRowHeight="15" customHeight="1" outlineLevelRow="1" outlineLevelCol="1"/>
  <cols>
    <col min="1" max="1" width="5.5703125" style="1" customWidth="1"/>
    <col min="2" max="2" width="44.28515625" style="6" customWidth="1"/>
    <col min="3" max="6" width="10.5703125" style="6" hidden="1" customWidth="1" outlineLevel="1"/>
    <col min="7" max="7" width="11.140625" style="1" customWidth="1" collapsed="1"/>
    <col min="8" max="11" width="10.5703125" style="6" customWidth="1"/>
    <col min="12" max="12" width="11.42578125" style="1" customWidth="1"/>
    <col min="13" max="16" width="10.5703125" style="6" customWidth="1"/>
    <col min="17" max="17" width="11.7109375" style="1" customWidth="1"/>
    <col min="18" max="21" width="10.5703125" style="6" customWidth="1"/>
    <col min="22" max="22" width="11.7109375" style="1" customWidth="1"/>
    <col min="23" max="26" width="10.5703125" style="6" customWidth="1"/>
    <col min="27" max="27" width="11.7109375" style="1" customWidth="1"/>
    <col min="28" max="16384" width="9.140625" style="1"/>
  </cols>
  <sheetData>
    <row r="1" spans="2:27" ht="15" customHeight="1">
      <c r="B1" s="5"/>
    </row>
    <row r="2" spans="2:27" ht="15" customHeight="1">
      <c r="B2" s="5"/>
    </row>
    <row r="3" spans="2:27" ht="15" customHeight="1">
      <c r="B3" s="5"/>
    </row>
    <row r="4" spans="2:27" ht="15" customHeight="1">
      <c r="B4" s="5"/>
    </row>
    <row r="5" spans="2:27" s="9" customFormat="1" ht="15" customHeight="1">
      <c r="B5" s="8" t="s">
        <v>40</v>
      </c>
      <c r="C5" s="10"/>
      <c r="D5" s="10"/>
      <c r="E5" s="10"/>
      <c r="F5" s="10"/>
      <c r="G5" s="7" t="s">
        <v>49</v>
      </c>
      <c r="H5" s="10"/>
      <c r="I5" s="10"/>
      <c r="J5" s="10"/>
      <c r="K5" s="10"/>
      <c r="M5" s="10"/>
      <c r="N5" s="10"/>
      <c r="O5" s="10"/>
      <c r="P5" s="10"/>
      <c r="R5" s="10"/>
      <c r="S5" s="10"/>
      <c r="T5" s="10"/>
      <c r="U5" s="10"/>
      <c r="W5" s="10"/>
      <c r="X5" s="10"/>
      <c r="Y5" s="10"/>
      <c r="Z5" s="10"/>
    </row>
    <row r="6" spans="2:27" s="9" customFormat="1" ht="15" customHeight="1">
      <c r="B6" s="11" t="s">
        <v>41</v>
      </c>
      <c r="C6" s="13"/>
      <c r="D6" s="13"/>
      <c r="E6" s="13"/>
      <c r="F6" s="13"/>
      <c r="G6" s="12"/>
      <c r="H6" s="13"/>
      <c r="I6" s="13"/>
      <c r="J6" s="13"/>
      <c r="K6" s="13"/>
      <c r="L6" s="12"/>
      <c r="M6" s="13"/>
      <c r="N6" s="13"/>
      <c r="O6" s="13"/>
      <c r="P6" s="13"/>
      <c r="Q6" s="12"/>
      <c r="R6" s="13"/>
      <c r="S6" s="13"/>
      <c r="T6" s="13"/>
      <c r="U6" s="13"/>
      <c r="V6" s="12"/>
      <c r="W6" s="13"/>
      <c r="X6" s="13"/>
      <c r="Y6" s="13"/>
      <c r="Z6" s="13"/>
      <c r="AA6" s="12"/>
    </row>
    <row r="7" spans="2:27" ht="15" customHeight="1">
      <c r="B7" s="6" t="s">
        <v>155</v>
      </c>
    </row>
    <row r="8" spans="2:27" ht="15" customHeight="1">
      <c r="C8" s="50"/>
      <c r="D8" s="50"/>
      <c r="E8" s="50"/>
      <c r="F8" s="50"/>
      <c r="G8" s="51" t="s">
        <v>122</v>
      </c>
      <c r="H8" s="50" t="s">
        <v>78</v>
      </c>
      <c r="I8" s="50" t="s">
        <v>79</v>
      </c>
      <c r="J8" s="50" t="s">
        <v>80</v>
      </c>
      <c r="K8" s="50" t="s">
        <v>81</v>
      </c>
      <c r="L8" s="51" t="s">
        <v>47</v>
      </c>
      <c r="M8" s="50" t="s">
        <v>82</v>
      </c>
      <c r="N8" s="50" t="s">
        <v>83</v>
      </c>
      <c r="O8" s="50" t="s">
        <v>84</v>
      </c>
      <c r="P8" s="50" t="s">
        <v>85</v>
      </c>
      <c r="Q8" s="51" t="s">
        <v>86</v>
      </c>
      <c r="R8" s="50" t="s">
        <v>158</v>
      </c>
      <c r="S8" s="50" t="s">
        <v>157</v>
      </c>
      <c r="T8" s="50" t="s">
        <v>196</v>
      </c>
      <c r="U8" s="279" t="str">
        <f>'Income Statement'!Q8</f>
        <v>Q4 20</v>
      </c>
      <c r="V8" s="51" t="s">
        <v>198</v>
      </c>
      <c r="W8" s="50" t="s">
        <v>200</v>
      </c>
      <c r="X8" s="50" t="s">
        <v>201</v>
      </c>
      <c r="Y8" s="50" t="s">
        <v>206</v>
      </c>
      <c r="Z8" s="50" t="s">
        <v>212</v>
      </c>
      <c r="AA8" s="51" t="s">
        <v>211</v>
      </c>
    </row>
    <row r="9" spans="2:27" ht="15" customHeight="1">
      <c r="G9" s="52"/>
      <c r="L9" s="52"/>
      <c r="Q9" s="52"/>
      <c r="V9" s="52"/>
      <c r="AA9" s="52"/>
    </row>
    <row r="10" spans="2:27" s="48" customFormat="1" ht="15" customHeight="1">
      <c r="B10" s="53" t="s">
        <v>34</v>
      </c>
      <c r="C10" s="54"/>
      <c r="D10" s="54"/>
      <c r="E10" s="54"/>
      <c r="F10" s="54"/>
      <c r="G10" s="55">
        <v>174760</v>
      </c>
      <c r="H10" s="54">
        <v>46757</v>
      </c>
      <c r="I10" s="54">
        <v>54013</v>
      </c>
      <c r="J10" s="54">
        <v>59121</v>
      </c>
      <c r="K10" s="54">
        <v>60210</v>
      </c>
      <c r="L10" s="55">
        <f>SUM(H10:K10)</f>
        <v>220101</v>
      </c>
      <c r="M10" s="54">
        <v>62471</v>
      </c>
      <c r="N10" s="54">
        <v>64812</v>
      </c>
      <c r="O10" s="54">
        <v>80021</v>
      </c>
      <c r="P10" s="54">
        <v>78316</v>
      </c>
      <c r="Q10" s="55">
        <f>SUM(M10:P10)</f>
        <v>285620</v>
      </c>
      <c r="R10" s="54">
        <f>'Income Statement'!N9</f>
        <v>82511</v>
      </c>
      <c r="S10" s="54">
        <f>'Income Statement'!O9</f>
        <v>90143</v>
      </c>
      <c r="T10" s="54">
        <f>'Income Statement'!P9</f>
        <v>102217</v>
      </c>
      <c r="U10" s="54">
        <f>'Income Statement'!Q9</f>
        <v>105701</v>
      </c>
      <c r="V10" s="55">
        <f>SUM(R10:U10)</f>
        <v>380572</v>
      </c>
      <c r="W10" s="54">
        <f>'Income Statement'!S9</f>
        <v>99437</v>
      </c>
      <c r="X10" s="54">
        <f>'Income Statement'!T9</f>
        <v>104661</v>
      </c>
      <c r="Y10" s="54">
        <f>'Income Statement'!U9</f>
        <v>119753</v>
      </c>
      <c r="Z10" s="54">
        <f>'Income Statement'!V9</f>
        <v>119175</v>
      </c>
      <c r="AA10" s="55">
        <f>SUM(W10:Z10)</f>
        <v>443026</v>
      </c>
    </row>
    <row r="11" spans="2:27" s="48" customFormat="1" ht="15" customHeight="1" outlineLevel="1">
      <c r="B11" s="6"/>
      <c r="C11" s="6"/>
      <c r="D11" s="6"/>
      <c r="E11" s="6"/>
      <c r="F11" s="6"/>
      <c r="G11" s="52"/>
      <c r="H11" s="6"/>
      <c r="I11" s="6"/>
      <c r="J11" s="6"/>
      <c r="K11" s="6"/>
      <c r="L11" s="52"/>
      <c r="M11" s="6"/>
      <c r="N11" s="6"/>
      <c r="O11" s="6"/>
      <c r="P11" s="6"/>
      <c r="Q11" s="52"/>
      <c r="R11" s="6"/>
      <c r="S11" s="6"/>
      <c r="T11" s="6"/>
      <c r="U11" s="6"/>
      <c r="V11" s="52"/>
      <c r="W11" s="6"/>
      <c r="X11" s="6"/>
      <c r="Y11" s="6"/>
      <c r="Z11" s="6"/>
      <c r="AA11" s="52"/>
    </row>
    <row r="12" spans="2:27" s="48" customFormat="1" ht="15" customHeight="1" outlineLevel="1">
      <c r="B12" s="6" t="s">
        <v>35</v>
      </c>
      <c r="C12" s="56"/>
      <c r="D12" s="56"/>
      <c r="E12" s="56"/>
      <c r="F12" s="56"/>
      <c r="G12" s="57">
        <v>74784</v>
      </c>
      <c r="H12" s="56">
        <v>22696</v>
      </c>
      <c r="I12" s="56">
        <v>30004</v>
      </c>
      <c r="J12" s="56">
        <v>34595</v>
      </c>
      <c r="K12" s="56">
        <v>36410</v>
      </c>
      <c r="L12" s="57">
        <f>SUM(H12:K12)</f>
        <v>123705</v>
      </c>
      <c r="M12" s="56">
        <v>38817</v>
      </c>
      <c r="N12" s="56">
        <v>40346</v>
      </c>
      <c r="O12" s="56">
        <v>45183</v>
      </c>
      <c r="P12" s="56">
        <v>40556</v>
      </c>
      <c r="Q12" s="57">
        <f>SUM(M12:P12)</f>
        <v>164902</v>
      </c>
      <c r="R12" s="56">
        <f>'Income Statement'!N12</f>
        <v>46085</v>
      </c>
      <c r="S12" s="56">
        <f>'Income Statement'!O12</f>
        <v>48683</v>
      </c>
      <c r="T12" s="56">
        <f>'Income Statement'!P12</f>
        <v>64251</v>
      </c>
      <c r="U12" s="56">
        <f>'Income Statement'!Q12</f>
        <v>68849</v>
      </c>
      <c r="V12" s="57">
        <f>SUM(R12:U12)</f>
        <v>227868</v>
      </c>
      <c r="W12" s="56">
        <f>'Income Statement'!S12</f>
        <v>64972</v>
      </c>
      <c r="X12" s="56">
        <f>'Income Statement'!T12</f>
        <v>69764</v>
      </c>
      <c r="Y12" s="56">
        <f>'Income Statement'!U12</f>
        <v>82668</v>
      </c>
      <c r="Z12" s="56">
        <f>'Income Statement'!V12</f>
        <v>81618</v>
      </c>
      <c r="AA12" s="57">
        <f>SUM(W12:Z12)</f>
        <v>299022</v>
      </c>
    </row>
    <row r="13" spans="2:27" s="48" customFormat="1" ht="15" customHeight="1" outlineLevel="1">
      <c r="B13" s="58" t="s">
        <v>0</v>
      </c>
      <c r="C13" s="6"/>
      <c r="D13" s="6"/>
      <c r="E13" s="6"/>
      <c r="F13" s="6"/>
      <c r="G13" s="59">
        <f t="shared" ref="G13:P13" si="0">G12/G10</f>
        <v>0.42792401007095443</v>
      </c>
      <c r="H13" s="60">
        <f t="shared" si="0"/>
        <v>0.48540325512757448</v>
      </c>
      <c r="I13" s="60">
        <f t="shared" si="0"/>
        <v>0.55549589913539332</v>
      </c>
      <c r="J13" s="60">
        <f t="shared" si="0"/>
        <v>0.58515586678168496</v>
      </c>
      <c r="K13" s="60">
        <f t="shared" si="0"/>
        <v>0.6047168244477662</v>
      </c>
      <c r="L13" s="59">
        <f t="shared" si="0"/>
        <v>0.56203742827156622</v>
      </c>
      <c r="M13" s="60">
        <f t="shared" si="0"/>
        <v>0.6213603111843895</v>
      </c>
      <c r="N13" s="60">
        <f t="shared" si="0"/>
        <v>0.62250817749799425</v>
      </c>
      <c r="O13" s="60">
        <f t="shared" si="0"/>
        <v>0.56463928218842552</v>
      </c>
      <c r="P13" s="60">
        <f t="shared" si="0"/>
        <v>0.51785075846570305</v>
      </c>
      <c r="Q13" s="59">
        <f>Q12/$Q$10</f>
        <v>0.57734752468314543</v>
      </c>
      <c r="R13" s="60">
        <f t="shared" ref="R13:X13" si="1">R12/R10</f>
        <v>0.55853158972743033</v>
      </c>
      <c r="S13" s="60">
        <f t="shared" si="1"/>
        <v>0.54006412034212303</v>
      </c>
      <c r="T13" s="60">
        <f t="shared" si="1"/>
        <v>0.62857450326266673</v>
      </c>
      <c r="U13" s="60">
        <f t="shared" si="1"/>
        <v>0.65135618395284811</v>
      </c>
      <c r="V13" s="59">
        <f t="shared" si="1"/>
        <v>0.59875135322619633</v>
      </c>
      <c r="W13" s="60">
        <f t="shared" si="1"/>
        <v>0.65339863431117184</v>
      </c>
      <c r="X13" s="60">
        <f t="shared" si="1"/>
        <v>0.66657112009248909</v>
      </c>
      <c r="Y13" s="60">
        <f t="shared" ref="Y13:AA13" si="2">Y12/Y10</f>
        <v>0.69032091054086331</v>
      </c>
      <c r="Z13" s="60">
        <f t="shared" si="2"/>
        <v>0.68485840151038391</v>
      </c>
      <c r="AA13" s="59">
        <f t="shared" si="2"/>
        <v>0.6749536144605508</v>
      </c>
    </row>
    <row r="14" spans="2:27" s="48" customFormat="1" ht="15" customHeight="1" outlineLevel="1">
      <c r="B14" s="61" t="s">
        <v>1</v>
      </c>
      <c r="C14" s="6"/>
      <c r="D14" s="6"/>
      <c r="E14" s="6"/>
      <c r="F14" s="6"/>
      <c r="G14" s="62"/>
      <c r="H14" s="6"/>
      <c r="I14" s="6"/>
      <c r="J14" s="6"/>
      <c r="K14" s="6"/>
      <c r="L14" s="62"/>
      <c r="M14" s="6"/>
      <c r="N14" s="6"/>
      <c r="O14" s="6"/>
      <c r="P14" s="6"/>
      <c r="Q14" s="62"/>
      <c r="R14" s="6"/>
      <c r="S14" s="6"/>
      <c r="T14" s="6"/>
      <c r="U14" s="6"/>
      <c r="V14" s="62"/>
      <c r="W14" s="6"/>
      <c r="X14" s="6"/>
      <c r="Y14" s="6"/>
      <c r="Z14" s="6"/>
      <c r="AA14" s="62"/>
    </row>
    <row r="15" spans="2:27" ht="15" customHeight="1" outlineLevel="1">
      <c r="B15" s="63" t="s">
        <v>28</v>
      </c>
      <c r="G15" s="64">
        <v>18618</v>
      </c>
      <c r="H15" s="65">
        <v>5959</v>
      </c>
      <c r="I15" s="65">
        <v>6015</v>
      </c>
      <c r="J15" s="65">
        <v>5965</v>
      </c>
      <c r="K15" s="65">
        <v>5956</v>
      </c>
      <c r="L15" s="62">
        <v>23895</v>
      </c>
      <c r="M15" s="65">
        <v>5970</v>
      </c>
      <c r="N15" s="65">
        <v>3548</v>
      </c>
      <c r="O15" s="65">
        <v>3359</v>
      </c>
      <c r="P15" s="65">
        <v>2981</v>
      </c>
      <c r="Q15" s="62">
        <f>SUM(M15:P15)</f>
        <v>15858</v>
      </c>
      <c r="R15" s="65">
        <v>3123</v>
      </c>
      <c r="S15" s="65">
        <v>5369</v>
      </c>
      <c r="T15" s="65">
        <v>5369</v>
      </c>
      <c r="U15" s="65">
        <v>5181</v>
      </c>
      <c r="V15" s="62">
        <f>SUM(R15:U15)</f>
        <v>19042</v>
      </c>
      <c r="W15" s="65">
        <v>5306</v>
      </c>
      <c r="X15" s="65">
        <v>4350</v>
      </c>
      <c r="Y15" s="65">
        <v>4213</v>
      </c>
      <c r="Z15" s="65">
        <v>4177</v>
      </c>
      <c r="AA15" s="62">
        <f>SUM(W15:Z15)</f>
        <v>18046</v>
      </c>
    </row>
    <row r="16" spans="2:27" ht="15" customHeight="1" outlineLevel="1">
      <c r="B16" s="63" t="s">
        <v>10</v>
      </c>
      <c r="G16" s="64">
        <v>4318</v>
      </c>
      <c r="H16" s="65">
        <v>637.49643999999989</v>
      </c>
      <c r="I16" s="65">
        <v>653.84152999999969</v>
      </c>
      <c r="J16" s="65">
        <v>673.43476999999962</v>
      </c>
      <c r="K16" s="65">
        <v>686.99850999999978</v>
      </c>
      <c r="L16" s="62">
        <v>2651.4712500000001</v>
      </c>
      <c r="M16" s="65">
        <v>711</v>
      </c>
      <c r="N16" s="65">
        <v>781.88605999999993</v>
      </c>
      <c r="O16" s="65">
        <v>1052</v>
      </c>
      <c r="P16" s="65">
        <v>2163</v>
      </c>
      <c r="Q16" s="62">
        <f>SUM(M16:P16)</f>
        <v>4707.8860599999998</v>
      </c>
      <c r="R16" s="65">
        <v>755</v>
      </c>
      <c r="S16" s="65">
        <v>1060</v>
      </c>
      <c r="T16" s="65">
        <v>1028</v>
      </c>
      <c r="U16" s="65">
        <v>926</v>
      </c>
      <c r="V16" s="62">
        <f>SUM(R16:U16)</f>
        <v>3769</v>
      </c>
      <c r="W16" s="65">
        <v>775</v>
      </c>
      <c r="X16" s="65">
        <v>913</v>
      </c>
      <c r="Y16" s="65">
        <v>988</v>
      </c>
      <c r="Z16" s="65">
        <v>2624</v>
      </c>
      <c r="AA16" s="62">
        <f>SUM(W16:Z16)</f>
        <v>5300</v>
      </c>
    </row>
    <row r="17" spans="2:27" ht="15" customHeight="1" outlineLevel="1">
      <c r="B17" s="66" t="s">
        <v>26</v>
      </c>
      <c r="C17" s="13"/>
      <c r="D17" s="13"/>
      <c r="E17" s="13"/>
      <c r="F17" s="13"/>
      <c r="G17" s="67">
        <v>0</v>
      </c>
      <c r="H17" s="68">
        <v>0</v>
      </c>
      <c r="I17" s="68">
        <v>0</v>
      </c>
      <c r="J17" s="68">
        <v>0</v>
      </c>
      <c r="K17" s="68">
        <v>0</v>
      </c>
      <c r="L17" s="67">
        <v>0</v>
      </c>
      <c r="M17" s="68">
        <v>0</v>
      </c>
      <c r="N17" s="68">
        <v>0</v>
      </c>
      <c r="O17" s="68">
        <v>1527</v>
      </c>
      <c r="P17" s="68">
        <v>1445</v>
      </c>
      <c r="Q17" s="67">
        <f>SUM(M17:P17)</f>
        <v>2972</v>
      </c>
      <c r="R17" s="68">
        <v>1487</v>
      </c>
      <c r="S17" s="68">
        <v>1245</v>
      </c>
      <c r="T17" s="68">
        <v>0</v>
      </c>
      <c r="U17" s="68">
        <v>0</v>
      </c>
      <c r="V17" s="67">
        <f>SUM(R17:U17)</f>
        <v>2732</v>
      </c>
      <c r="W17" s="68">
        <v>0</v>
      </c>
      <c r="X17" s="68">
        <v>0</v>
      </c>
      <c r="Y17" s="68">
        <v>0</v>
      </c>
      <c r="Z17" s="68">
        <v>0</v>
      </c>
      <c r="AA17" s="67">
        <f>SUM(W17:Z17)</f>
        <v>0</v>
      </c>
    </row>
    <row r="18" spans="2:27" ht="15" customHeight="1" outlineLevel="1">
      <c r="B18" s="53" t="s">
        <v>2</v>
      </c>
      <c r="C18" s="69"/>
      <c r="D18" s="69"/>
      <c r="E18" s="69"/>
      <c r="F18" s="69"/>
      <c r="G18" s="70">
        <v>97720</v>
      </c>
      <c r="H18" s="69">
        <v>29292.496439999999</v>
      </c>
      <c r="I18" s="69">
        <v>36672.841529999998</v>
      </c>
      <c r="J18" s="69">
        <v>41233.43477</v>
      </c>
      <c r="K18" s="69">
        <v>43052.598510000003</v>
      </c>
      <c r="L18" s="70">
        <f>SUM(H18:K18)</f>
        <v>150251.37125</v>
      </c>
      <c r="M18" s="69">
        <v>45499</v>
      </c>
      <c r="N18" s="69">
        <v>44675.886059999997</v>
      </c>
      <c r="O18" s="69">
        <v>51121</v>
      </c>
      <c r="P18" s="69">
        <f>P12+P15+P16+P17</f>
        <v>47145</v>
      </c>
      <c r="Q18" s="70">
        <f>SUM(M18:P18)</f>
        <v>188440.88605999999</v>
      </c>
      <c r="R18" s="69">
        <f>R12+R15+R16+R17</f>
        <v>51450</v>
      </c>
      <c r="S18" s="69">
        <f>S12+S15+S16+S17</f>
        <v>56357</v>
      </c>
      <c r="T18" s="69">
        <f>T12+T15+T16+T17</f>
        <v>70648</v>
      </c>
      <c r="U18" s="69">
        <f>U12+U15+U16+U17</f>
        <v>74956</v>
      </c>
      <c r="V18" s="70">
        <f>SUM(R18:U18)</f>
        <v>253411</v>
      </c>
      <c r="W18" s="69">
        <f>W12+W15+W16+W17</f>
        <v>71053</v>
      </c>
      <c r="X18" s="69">
        <f>X12+X15+X16+X17</f>
        <v>75027</v>
      </c>
      <c r="Y18" s="69">
        <f>Y12+Y15+Y16+Y17</f>
        <v>87869</v>
      </c>
      <c r="Z18" s="69">
        <f>Z12+Z15+Z16+Z17</f>
        <v>88419</v>
      </c>
      <c r="AA18" s="70">
        <f>SUM(W18:Z18)</f>
        <v>322368</v>
      </c>
    </row>
    <row r="19" spans="2:27" ht="15" customHeight="1" outlineLevel="1">
      <c r="B19" s="58" t="s">
        <v>90</v>
      </c>
      <c r="C19" s="60"/>
      <c r="D19" s="60"/>
      <c r="E19" s="60"/>
      <c r="F19" s="60"/>
      <c r="G19" s="71">
        <f>G18/G10</f>
        <v>0.55916685740444039</v>
      </c>
      <c r="H19" s="60">
        <v>0.62648365891738134</v>
      </c>
      <c r="I19" s="60">
        <v>0.67896324088645321</v>
      </c>
      <c r="J19" s="60">
        <v>0.69744142977960455</v>
      </c>
      <c r="K19" s="60">
        <v>0.71504730958312568</v>
      </c>
      <c r="L19" s="59">
        <v>0.6826491985497567</v>
      </c>
      <c r="M19" s="60">
        <v>0.72831180067551338</v>
      </c>
      <c r="N19" s="60">
        <v>0.68931503517867054</v>
      </c>
      <c r="O19" s="60">
        <v>0.63884480323914972</v>
      </c>
      <c r="P19" s="60">
        <f>P18/P10</f>
        <v>0.6019842688594923</v>
      </c>
      <c r="Q19" s="59">
        <f>Q18/$Q$10</f>
        <v>0.6597608222813528</v>
      </c>
      <c r="R19" s="60">
        <f t="shared" ref="R19:X19" si="3">R18/R10</f>
        <v>0.62355322320660278</v>
      </c>
      <c r="S19" s="60">
        <f t="shared" si="3"/>
        <v>0.62519552266953615</v>
      </c>
      <c r="T19" s="60">
        <f t="shared" si="3"/>
        <v>0.69115704824050794</v>
      </c>
      <c r="U19" s="60">
        <f t="shared" si="3"/>
        <v>0.7091323639322239</v>
      </c>
      <c r="V19" s="59">
        <f t="shared" si="3"/>
        <v>0.66586874494182446</v>
      </c>
      <c r="W19" s="60">
        <f t="shared" si="3"/>
        <v>0.71455293301286238</v>
      </c>
      <c r="X19" s="60">
        <f t="shared" si="3"/>
        <v>0.71685728208215094</v>
      </c>
      <c r="Y19" s="60">
        <f t="shared" ref="Y19:AA19" si="4">Y18/Y10</f>
        <v>0.73375197281070204</v>
      </c>
      <c r="Z19" s="60">
        <f t="shared" si="4"/>
        <v>0.74192573945877915</v>
      </c>
      <c r="AA19" s="59">
        <f t="shared" si="4"/>
        <v>0.72765029591942687</v>
      </c>
    </row>
    <row r="20" spans="2:27" ht="15" customHeight="1" outlineLevel="1">
      <c r="G20" s="62"/>
      <c r="L20" s="62"/>
      <c r="Q20" s="62"/>
      <c r="V20" s="62"/>
      <c r="AA20" s="62"/>
    </row>
    <row r="21" spans="2:27" ht="15" customHeight="1" outlineLevel="1">
      <c r="B21" s="6" t="s">
        <v>36</v>
      </c>
      <c r="C21" s="56"/>
      <c r="D21" s="56"/>
      <c r="E21" s="56"/>
      <c r="F21" s="56"/>
      <c r="G21" s="57">
        <v>49367</v>
      </c>
      <c r="H21" s="56">
        <v>14840</v>
      </c>
      <c r="I21" s="56">
        <v>15599</v>
      </c>
      <c r="J21" s="56">
        <v>14311</v>
      </c>
      <c r="K21" s="56">
        <v>15963</v>
      </c>
      <c r="L21" s="57">
        <f>SUM(H21:K21)</f>
        <v>60713</v>
      </c>
      <c r="M21" s="56">
        <v>16970</v>
      </c>
      <c r="N21" s="56">
        <v>16940</v>
      </c>
      <c r="O21" s="56">
        <v>20469</v>
      </c>
      <c r="P21" s="56">
        <v>31318</v>
      </c>
      <c r="Q21" s="57">
        <f>SUM(M21:P21)</f>
        <v>85697</v>
      </c>
      <c r="R21" s="56">
        <f>'Income Statement'!N16</f>
        <v>23722</v>
      </c>
      <c r="S21" s="56">
        <f>'Income Statement'!O16</f>
        <v>26445</v>
      </c>
      <c r="T21" s="56">
        <f>'Income Statement'!P16</f>
        <v>27403</v>
      </c>
      <c r="U21" s="56">
        <f>'Income Statement'!Q16</f>
        <v>28411</v>
      </c>
      <c r="V21" s="57">
        <f>SUM(R21:U21)</f>
        <v>105981</v>
      </c>
      <c r="W21" s="56">
        <f>'Income Statement'!S16</f>
        <v>26989</v>
      </c>
      <c r="X21" s="56">
        <f>'Income Statement'!T16</f>
        <v>31035</v>
      </c>
      <c r="Y21" s="56">
        <f>'Income Statement'!U16</f>
        <v>30608</v>
      </c>
      <c r="Z21" s="56">
        <f>'Income Statement'!V16</f>
        <v>46479</v>
      </c>
      <c r="AA21" s="57">
        <f>SUM(W21:Z21)</f>
        <v>135111</v>
      </c>
    </row>
    <row r="22" spans="2:27" ht="15" customHeight="1" outlineLevel="1">
      <c r="B22" s="58" t="s">
        <v>0</v>
      </c>
      <c r="G22" s="59">
        <f t="shared" ref="G22:P22" si="5">G21/G$10</f>
        <v>0.28248455024032959</v>
      </c>
      <c r="H22" s="72">
        <f t="shared" si="5"/>
        <v>0.31738563209786769</v>
      </c>
      <c r="I22" s="72">
        <f t="shared" si="5"/>
        <v>0.28880084424120117</v>
      </c>
      <c r="J22" s="72">
        <f t="shared" si="5"/>
        <v>0.24206288797550785</v>
      </c>
      <c r="K22" s="72">
        <f t="shared" si="5"/>
        <v>0.26512207274539112</v>
      </c>
      <c r="L22" s="59">
        <f t="shared" si="5"/>
        <v>0.27584154547230588</v>
      </c>
      <c r="M22" s="72">
        <f t="shared" si="5"/>
        <v>0.27164604376430662</v>
      </c>
      <c r="N22" s="72">
        <f t="shared" si="5"/>
        <v>0.26137135098438563</v>
      </c>
      <c r="O22" s="72">
        <f t="shared" si="5"/>
        <v>0.25579535371964857</v>
      </c>
      <c r="P22" s="72">
        <f t="shared" si="5"/>
        <v>0.39989274222381122</v>
      </c>
      <c r="Q22" s="59">
        <f>Q21/Q$10</f>
        <v>0.30003851270919402</v>
      </c>
      <c r="R22" s="72">
        <f t="shared" ref="R22:S22" si="6">R21/R$10</f>
        <v>0.28750106046466534</v>
      </c>
      <c r="S22" s="72">
        <f t="shared" si="6"/>
        <v>0.29336720544024497</v>
      </c>
      <c r="T22" s="72">
        <f t="shared" ref="T22:U22" si="7">T21/T$10</f>
        <v>0.26808652181144038</v>
      </c>
      <c r="U22" s="72">
        <f t="shared" si="7"/>
        <v>0.26878648262551913</v>
      </c>
      <c r="V22" s="59">
        <f>V21/V$10</f>
        <v>0.27847818546818998</v>
      </c>
      <c r="W22" s="72">
        <f t="shared" ref="W22:X22" si="8">W21/W$10</f>
        <v>0.27141808381186078</v>
      </c>
      <c r="X22" s="72">
        <f t="shared" si="8"/>
        <v>0.29652879296012841</v>
      </c>
      <c r="Y22" s="72">
        <f t="shared" ref="Y22:Z22" si="9">Y21/Y$10</f>
        <v>0.25559276176797241</v>
      </c>
      <c r="Z22" s="72">
        <f t="shared" si="9"/>
        <v>0.39000629326620517</v>
      </c>
      <c r="AA22" s="59">
        <f>AA21/AA$10</f>
        <v>0.30497307155787695</v>
      </c>
    </row>
    <row r="23" spans="2:27" ht="15" customHeight="1" outlineLevel="1">
      <c r="B23" s="61" t="s">
        <v>1</v>
      </c>
      <c r="G23" s="62"/>
      <c r="L23" s="62"/>
      <c r="Q23" s="62"/>
      <c r="V23" s="62"/>
      <c r="AA23" s="62"/>
    </row>
    <row r="24" spans="2:27" ht="15" customHeight="1" outlineLevel="1">
      <c r="B24" s="66" t="s">
        <v>10</v>
      </c>
      <c r="C24" s="13"/>
      <c r="D24" s="13"/>
      <c r="E24" s="13"/>
      <c r="F24" s="13"/>
      <c r="G24" s="67">
        <v>10513.23739</v>
      </c>
      <c r="H24" s="73">
        <v>3693</v>
      </c>
      <c r="I24" s="74">
        <v>3636</v>
      </c>
      <c r="J24" s="74">
        <v>3177</v>
      </c>
      <c r="K24" s="75">
        <v>5138</v>
      </c>
      <c r="L24" s="67">
        <f>SUM(H24:K24)</f>
        <v>15644</v>
      </c>
      <c r="M24" s="76">
        <v>4342</v>
      </c>
      <c r="N24" s="76">
        <v>3745.0765100000003</v>
      </c>
      <c r="O24" s="76">
        <v>5945</v>
      </c>
      <c r="P24" s="76">
        <v>14193</v>
      </c>
      <c r="Q24" s="67">
        <f>SUM(M24:P24)</f>
        <v>28225.076509999999</v>
      </c>
      <c r="R24" s="76">
        <v>4451</v>
      </c>
      <c r="S24" s="76">
        <v>6346</v>
      </c>
      <c r="T24" s="76">
        <v>6462</v>
      </c>
      <c r="U24" s="76">
        <v>6001</v>
      </c>
      <c r="V24" s="67">
        <f>SUM(R24:U24)</f>
        <v>23260</v>
      </c>
      <c r="W24" s="76">
        <v>5886</v>
      </c>
      <c r="X24" s="76">
        <v>7713</v>
      </c>
      <c r="Y24" s="76">
        <v>7376</v>
      </c>
      <c r="Z24" s="76">
        <v>17985</v>
      </c>
      <c r="AA24" s="67">
        <f>SUM(W24:Z24)</f>
        <v>38960</v>
      </c>
    </row>
    <row r="25" spans="2:27" s="78" customFormat="1" ht="15" customHeight="1" outlineLevel="1">
      <c r="B25" s="53" t="s">
        <v>3</v>
      </c>
      <c r="C25" s="69"/>
      <c r="D25" s="69"/>
      <c r="E25" s="69"/>
      <c r="F25" s="69"/>
      <c r="G25" s="70">
        <f>G21-G24</f>
        <v>38853.762609999998</v>
      </c>
      <c r="H25" s="54">
        <v>11147</v>
      </c>
      <c r="I25" s="54">
        <v>11963.10694</v>
      </c>
      <c r="J25" s="54">
        <v>11134.19008</v>
      </c>
      <c r="K25" s="54">
        <v>10825.166950000001</v>
      </c>
      <c r="L25" s="70">
        <f>SUM(H25:K25)</f>
        <v>45069.463969999997</v>
      </c>
      <c r="M25" s="54">
        <v>12629</v>
      </c>
      <c r="N25" s="54">
        <v>13194.923489999999</v>
      </c>
      <c r="O25" s="54">
        <v>14524</v>
      </c>
      <c r="P25" s="54">
        <f>P21-P24</f>
        <v>17125</v>
      </c>
      <c r="Q25" s="70">
        <f>SUM(M25:P25)</f>
        <v>57472.923490000001</v>
      </c>
      <c r="R25" s="54">
        <f>R21-R24</f>
        <v>19271</v>
      </c>
      <c r="S25" s="54">
        <f>S21-S24</f>
        <v>20099</v>
      </c>
      <c r="T25" s="54">
        <f>T21-T24</f>
        <v>20941</v>
      </c>
      <c r="U25" s="54">
        <f>U21-U24</f>
        <v>22410</v>
      </c>
      <c r="V25" s="70">
        <f>SUM(R25:U25)</f>
        <v>82721</v>
      </c>
      <c r="W25" s="54">
        <f>W21-W24</f>
        <v>21103</v>
      </c>
      <c r="X25" s="54">
        <f>X21-X24</f>
        <v>23322</v>
      </c>
      <c r="Y25" s="54">
        <f>Y21-Y24</f>
        <v>23232</v>
      </c>
      <c r="Z25" s="54">
        <f>Z21-Z24</f>
        <v>28494</v>
      </c>
      <c r="AA25" s="70">
        <f>SUM(W25:Z25)</f>
        <v>96151</v>
      </c>
    </row>
    <row r="26" spans="2:27" ht="15" customHeight="1" outlineLevel="1">
      <c r="B26" s="58" t="s">
        <v>90</v>
      </c>
      <c r="G26" s="59">
        <v>0.23788367894050857</v>
      </c>
      <c r="H26" s="60">
        <v>0.23840863785101701</v>
      </c>
      <c r="I26" s="60">
        <v>0.22148939958898783</v>
      </c>
      <c r="J26" s="60">
        <v>0.18833223524635917</v>
      </c>
      <c r="K26" s="60">
        <v>0.17979350523168908</v>
      </c>
      <c r="L26" s="59">
        <v>0.20477115801382095</v>
      </c>
      <c r="M26" s="60">
        <v>0.20214567415280688</v>
      </c>
      <c r="N26" s="60">
        <v>0.20358766108128123</v>
      </c>
      <c r="O26" s="60">
        <v>0.18150235563164668</v>
      </c>
      <c r="P26" s="60">
        <f>P25/$P$10</f>
        <v>0.21866540681342256</v>
      </c>
      <c r="Q26" s="59">
        <f t="shared" ref="Q26:AA26" si="10">Q25/Q10</f>
        <v>0.20122163535466706</v>
      </c>
      <c r="R26" s="60">
        <f t="shared" si="10"/>
        <v>0.23355673788949352</v>
      </c>
      <c r="S26" s="60">
        <f t="shared" si="10"/>
        <v>0.22296795092242325</v>
      </c>
      <c r="T26" s="60">
        <f t="shared" si="10"/>
        <v>0.20486807478208127</v>
      </c>
      <c r="U26" s="60">
        <f t="shared" si="10"/>
        <v>0.21201313138002478</v>
      </c>
      <c r="V26" s="59">
        <f t="shared" si="10"/>
        <v>0.2173596586191312</v>
      </c>
      <c r="W26" s="60">
        <f t="shared" si="10"/>
        <v>0.21222482576907992</v>
      </c>
      <c r="X26" s="60">
        <f t="shared" si="10"/>
        <v>0.22283372029695875</v>
      </c>
      <c r="Y26" s="60">
        <f t="shared" si="10"/>
        <v>0.19399931525723782</v>
      </c>
      <c r="Z26" s="60">
        <f t="shared" si="10"/>
        <v>0.2390937696664569</v>
      </c>
      <c r="AA26" s="59">
        <f t="shared" si="10"/>
        <v>0.21703240893311002</v>
      </c>
    </row>
    <row r="27" spans="2:27" ht="15" customHeight="1" outlineLevel="1">
      <c r="G27" s="62"/>
      <c r="L27" s="62"/>
      <c r="Q27" s="62"/>
      <c r="V27" s="62"/>
      <c r="AA27" s="62"/>
    </row>
    <row r="28" spans="2:27" s="9" customFormat="1" ht="15" customHeight="1" outlineLevel="1">
      <c r="B28" s="10" t="s">
        <v>37</v>
      </c>
      <c r="C28" s="56"/>
      <c r="D28" s="56"/>
      <c r="E28" s="56"/>
      <c r="F28" s="56"/>
      <c r="G28" s="57">
        <v>59258</v>
      </c>
      <c r="H28" s="56">
        <v>24091</v>
      </c>
      <c r="I28" s="56">
        <v>25981</v>
      </c>
      <c r="J28" s="56">
        <v>27832</v>
      </c>
      <c r="K28" s="56">
        <v>30735</v>
      </c>
      <c r="L28" s="57">
        <f>SUM(H28:K28)</f>
        <v>108639</v>
      </c>
      <c r="M28" s="56">
        <v>33323</v>
      </c>
      <c r="N28" s="56">
        <v>35940</v>
      </c>
      <c r="O28" s="56">
        <v>40054</v>
      </c>
      <c r="P28" s="56">
        <v>49223</v>
      </c>
      <c r="Q28" s="57">
        <f>SUM(M28:P28)</f>
        <v>158540</v>
      </c>
      <c r="R28" s="56">
        <f>'Income Statement'!N17</f>
        <v>43144</v>
      </c>
      <c r="S28" s="56">
        <f>'Income Statement'!O17</f>
        <v>45204</v>
      </c>
      <c r="T28" s="56">
        <f>'Income Statement'!P17</f>
        <v>51993</v>
      </c>
      <c r="U28" s="56">
        <f>'Income Statement'!Q17</f>
        <v>48564</v>
      </c>
      <c r="V28" s="57">
        <f>SUM(R28:U28)</f>
        <v>188905</v>
      </c>
      <c r="W28" s="56">
        <f>'Income Statement'!S17</f>
        <v>38627</v>
      </c>
      <c r="X28" s="56">
        <f>'Income Statement'!T17</f>
        <v>41705</v>
      </c>
      <c r="Y28" s="56">
        <f>'Income Statement'!U17</f>
        <v>43904</v>
      </c>
      <c r="Z28" s="56">
        <f>'Income Statement'!V17</f>
        <v>53307</v>
      </c>
      <c r="AA28" s="57">
        <f>SUM(W28:Z28)</f>
        <v>177543</v>
      </c>
    </row>
    <row r="29" spans="2:27" s="9" customFormat="1" ht="15" customHeight="1" outlineLevel="1">
      <c r="B29" s="79" t="s">
        <v>0</v>
      </c>
      <c r="C29" s="10"/>
      <c r="D29" s="10"/>
      <c r="E29" s="10"/>
      <c r="F29" s="10"/>
      <c r="G29" s="59">
        <f t="shared" ref="G29" si="11">G28/G$10</f>
        <v>0.33908216983291373</v>
      </c>
      <c r="H29" s="72">
        <f t="shared" ref="H29" si="12">H28/H$10</f>
        <v>0.51523836003165302</v>
      </c>
      <c r="I29" s="72">
        <f t="shared" ref="I29" si="13">I28/I$10</f>
        <v>0.48101383000388798</v>
      </c>
      <c r="J29" s="72">
        <f t="shared" ref="J29" si="14">J28/J$10</f>
        <v>0.47076334974036299</v>
      </c>
      <c r="K29" s="72">
        <f t="shared" ref="K29" si="15">K28/K$10</f>
        <v>0.51046337817638265</v>
      </c>
      <c r="L29" s="59">
        <f t="shared" ref="L29" si="16">L28/L$10</f>
        <v>0.493587035043003</v>
      </c>
      <c r="M29" s="72">
        <f t="shared" ref="M29" si="17">M28/M$10</f>
        <v>0.5334155047942245</v>
      </c>
      <c r="N29" s="72">
        <f t="shared" ref="N29" si="18">N28/N$10</f>
        <v>0.55452693945565634</v>
      </c>
      <c r="O29" s="72">
        <f t="shared" ref="O29" si="19">O28/O$10</f>
        <v>0.50054360730308289</v>
      </c>
      <c r="P29" s="72">
        <f t="shared" ref="P29" si="20">P28/P$10</f>
        <v>0.62851779968333421</v>
      </c>
      <c r="Q29" s="59">
        <f>Q28/Q$10</f>
        <v>0.55507317414746871</v>
      </c>
      <c r="R29" s="72">
        <f t="shared" ref="R29:S29" si="21">R28/R$10</f>
        <v>0.52288785737659216</v>
      </c>
      <c r="S29" s="72">
        <f t="shared" si="21"/>
        <v>0.50146988673552018</v>
      </c>
      <c r="T29" s="72">
        <f t="shared" ref="T29:U29" si="22">T28/T$10</f>
        <v>0.50865315945488521</v>
      </c>
      <c r="U29" s="72">
        <f t="shared" si="22"/>
        <v>0.45944693049261598</v>
      </c>
      <c r="V29" s="59">
        <f>V28/V$10</f>
        <v>0.49637125169481727</v>
      </c>
      <c r="W29" s="72">
        <f t="shared" ref="W29:X29" si="23">W28/W$10</f>
        <v>0.38845701298309482</v>
      </c>
      <c r="X29" s="72">
        <f t="shared" si="23"/>
        <v>0.39847698760760936</v>
      </c>
      <c r="Y29" s="72">
        <f t="shared" ref="Y29:Z29" si="24">Y28/Y$10</f>
        <v>0.36662129549990397</v>
      </c>
      <c r="Z29" s="72">
        <f t="shared" si="24"/>
        <v>0.44730018879798616</v>
      </c>
      <c r="AA29" s="59">
        <f>AA28/AA$10</f>
        <v>0.40075074600587773</v>
      </c>
    </row>
    <row r="30" spans="2:27" s="9" customFormat="1" ht="15" customHeight="1" outlineLevel="1">
      <c r="B30" s="80" t="s">
        <v>1</v>
      </c>
      <c r="C30" s="10"/>
      <c r="D30" s="10"/>
      <c r="E30" s="10"/>
      <c r="F30" s="10"/>
      <c r="G30" s="62"/>
      <c r="H30" s="10"/>
      <c r="I30" s="10"/>
      <c r="J30" s="10"/>
      <c r="K30" s="10"/>
      <c r="L30" s="62"/>
      <c r="M30" s="10"/>
      <c r="N30" s="10"/>
      <c r="O30" s="10"/>
      <c r="P30" s="10"/>
      <c r="Q30" s="62"/>
      <c r="R30" s="10"/>
      <c r="S30" s="10"/>
      <c r="T30" s="10"/>
      <c r="U30" s="10"/>
      <c r="V30" s="62"/>
      <c r="W30" s="10"/>
      <c r="X30" s="10"/>
      <c r="Y30" s="10"/>
      <c r="Z30" s="10"/>
      <c r="AA30" s="62"/>
    </row>
    <row r="31" spans="2:27" s="9" customFormat="1" ht="15" customHeight="1" outlineLevel="1">
      <c r="B31" s="66" t="s">
        <v>10</v>
      </c>
      <c r="C31" s="13"/>
      <c r="D31" s="13"/>
      <c r="E31" s="13"/>
      <c r="F31" s="13"/>
      <c r="G31" s="67">
        <v>7493</v>
      </c>
      <c r="H31" s="76">
        <v>5454.3092300000017</v>
      </c>
      <c r="I31" s="76">
        <v>5729.9360000000042</v>
      </c>
      <c r="J31" s="76">
        <v>6250.7235899999996</v>
      </c>
      <c r="K31" s="76">
        <v>5946.3980000000001</v>
      </c>
      <c r="L31" s="67">
        <f>SUM(H31:K31)</f>
        <v>23381.366820000007</v>
      </c>
      <c r="M31" s="76">
        <v>9920.1499000000003</v>
      </c>
      <c r="N31" s="76">
        <v>9854.063199999995</v>
      </c>
      <c r="O31" s="76">
        <v>9460</v>
      </c>
      <c r="P31" s="76">
        <v>14736</v>
      </c>
      <c r="Q31" s="67">
        <f>SUM(M31:P31)</f>
        <v>43970.213099999994</v>
      </c>
      <c r="R31" s="76">
        <v>8920</v>
      </c>
      <c r="S31" s="76">
        <v>9758</v>
      </c>
      <c r="T31" s="76">
        <v>15670</v>
      </c>
      <c r="U31" s="76">
        <v>3678</v>
      </c>
      <c r="V31" s="67">
        <f>SUM(R31:U31)</f>
        <v>38026</v>
      </c>
      <c r="W31" s="76">
        <v>7123</v>
      </c>
      <c r="X31" s="76">
        <v>9233</v>
      </c>
      <c r="Y31" s="76">
        <v>9212</v>
      </c>
      <c r="Z31" s="76">
        <v>14833</v>
      </c>
      <c r="AA31" s="67">
        <f>SUM(W31:Z31)</f>
        <v>40401</v>
      </c>
    </row>
    <row r="32" spans="2:27" s="84" customFormat="1" ht="15" customHeight="1" outlineLevel="1">
      <c r="B32" s="81" t="s">
        <v>4</v>
      </c>
      <c r="C32" s="82"/>
      <c r="D32" s="82"/>
      <c r="E32" s="82"/>
      <c r="F32" s="82"/>
      <c r="G32" s="55">
        <f>G28-G31</f>
        <v>51765</v>
      </c>
      <c r="H32" s="82">
        <v>18636.690769999997</v>
      </c>
      <c r="I32" s="82">
        <v>20251.063999999995</v>
      </c>
      <c r="J32" s="82">
        <v>21581.276409999999</v>
      </c>
      <c r="K32" s="82">
        <v>24788.601999999999</v>
      </c>
      <c r="L32" s="55">
        <f>SUM(H32:K32)</f>
        <v>85257.63317999999</v>
      </c>
      <c r="M32" s="82">
        <v>23402.8501</v>
      </c>
      <c r="N32" s="82">
        <v>26085.936800000003</v>
      </c>
      <c r="O32" s="82">
        <v>30594</v>
      </c>
      <c r="P32" s="82">
        <f>P28-P31</f>
        <v>34487</v>
      </c>
      <c r="Q32" s="55">
        <f>SUM(M32:P32)</f>
        <v>114569.78690000001</v>
      </c>
      <c r="R32" s="82">
        <f>R28-R31</f>
        <v>34224</v>
      </c>
      <c r="S32" s="82">
        <f>S28-S31</f>
        <v>35446</v>
      </c>
      <c r="T32" s="82">
        <f>T28-T31</f>
        <v>36323</v>
      </c>
      <c r="U32" s="82">
        <f>U28-U31</f>
        <v>44886</v>
      </c>
      <c r="V32" s="55">
        <f>SUM(R32:U32)</f>
        <v>150879</v>
      </c>
      <c r="W32" s="82">
        <f>W28-W31</f>
        <v>31504</v>
      </c>
      <c r="X32" s="82">
        <f>X28-X31</f>
        <v>32472</v>
      </c>
      <c r="Y32" s="82">
        <f>Y28-Y31</f>
        <v>34692</v>
      </c>
      <c r="Z32" s="82">
        <f>Z28-Z31</f>
        <v>38474</v>
      </c>
      <c r="AA32" s="55">
        <f>SUM(W32:Z32)</f>
        <v>137142</v>
      </c>
    </row>
    <row r="33" spans="2:27" s="9" customFormat="1" ht="15" customHeight="1" outlineLevel="1">
      <c r="B33" s="79" t="s">
        <v>90</v>
      </c>
      <c r="C33" s="10"/>
      <c r="D33" s="10"/>
      <c r="E33" s="10"/>
      <c r="F33" s="10"/>
      <c r="G33" s="59">
        <f t="shared" ref="G33" si="25">G32/G$10</f>
        <v>0.29620622568093385</v>
      </c>
      <c r="H33" s="72">
        <f t="shared" ref="H33" si="26">H32/H$10</f>
        <v>0.39858611052890469</v>
      </c>
      <c r="I33" s="72">
        <f t="shared" ref="I33" si="27">I32/I$10</f>
        <v>0.37492944291189151</v>
      </c>
      <c r="J33" s="72">
        <f t="shared" ref="J33" si="28">J32/J$10</f>
        <v>0.36503571336750051</v>
      </c>
      <c r="K33" s="72">
        <f t="shared" ref="K33" si="29">K32/K$10</f>
        <v>0.41170240823783422</v>
      </c>
      <c r="L33" s="59">
        <f t="shared" ref="L33" si="30">L32/L$10</f>
        <v>0.38735686425777255</v>
      </c>
      <c r="M33" s="72">
        <f t="shared" ref="M33" si="31">M32/M$10</f>
        <v>0.37461942501320611</v>
      </c>
      <c r="N33" s="72">
        <f t="shared" ref="N33" si="32">N32/N$10</f>
        <v>0.40248621860149358</v>
      </c>
      <c r="O33" s="72">
        <f t="shared" ref="O33" si="33">O32/O$10</f>
        <v>0.38232463978205722</v>
      </c>
      <c r="P33" s="72">
        <f t="shared" ref="P33" si="34">P32/P$10</f>
        <v>0.44035701516931408</v>
      </c>
      <c r="Q33" s="59">
        <f>Q32/Q$10</f>
        <v>0.40112662593655907</v>
      </c>
      <c r="R33" s="72">
        <f t="shared" ref="R33:S33" si="35">R32/R$10</f>
        <v>0.41478105949509764</v>
      </c>
      <c r="S33" s="72">
        <f t="shared" si="35"/>
        <v>0.39321966209245313</v>
      </c>
      <c r="T33" s="72">
        <f t="shared" ref="T33:U33" si="36">T32/T$10</f>
        <v>0.35535184949665904</v>
      </c>
      <c r="U33" s="72">
        <f t="shared" si="36"/>
        <v>0.42465066555661724</v>
      </c>
      <c r="V33" s="59">
        <f>V32/V$10</f>
        <v>0.39645323355370338</v>
      </c>
      <c r="W33" s="72">
        <f t="shared" ref="W33:X33" si="37">W32/W$10</f>
        <v>0.31682371752969218</v>
      </c>
      <c r="X33" s="72">
        <f t="shared" si="37"/>
        <v>0.31025883566944706</v>
      </c>
      <c r="Y33" s="72">
        <f t="shared" ref="Y33:Z33" si="38">Y32/Y$10</f>
        <v>0.28969629153340626</v>
      </c>
      <c r="Z33" s="72">
        <f t="shared" si="38"/>
        <v>0.32283616530312564</v>
      </c>
      <c r="AA33" s="59">
        <f>AA32/AA$10</f>
        <v>0.30955745261000484</v>
      </c>
    </row>
    <row r="34" spans="2:27" s="9" customFormat="1" ht="15" customHeight="1" outlineLevel="1">
      <c r="B34" s="79"/>
      <c r="C34" s="10"/>
      <c r="D34" s="10"/>
      <c r="E34" s="10"/>
      <c r="F34" s="10"/>
      <c r="G34" s="59"/>
      <c r="H34" s="72"/>
      <c r="I34" s="72"/>
      <c r="J34" s="72"/>
      <c r="K34" s="72"/>
      <c r="L34" s="59"/>
      <c r="M34" s="72"/>
      <c r="N34" s="72"/>
      <c r="O34" s="72"/>
      <c r="P34" s="72"/>
      <c r="Q34" s="59"/>
      <c r="R34" s="72"/>
      <c r="S34" s="72"/>
      <c r="T34" s="72"/>
      <c r="U34" s="72"/>
      <c r="V34" s="59"/>
      <c r="W34" s="72"/>
      <c r="X34" s="72"/>
      <c r="Y34" s="72"/>
      <c r="Z34" s="72"/>
      <c r="AA34" s="59"/>
    </row>
    <row r="35" spans="2:27" s="9" customFormat="1" ht="15" customHeight="1" outlineLevel="1">
      <c r="B35" s="10" t="s">
        <v>38</v>
      </c>
      <c r="C35" s="56"/>
      <c r="D35" s="56"/>
      <c r="E35" s="56"/>
      <c r="F35" s="56"/>
      <c r="G35" s="57">
        <v>92898.309739999953</v>
      </c>
      <c r="H35" s="56">
        <v>23587</v>
      </c>
      <c r="I35" s="56">
        <v>23724</v>
      </c>
      <c r="J35" s="56">
        <v>20929</v>
      </c>
      <c r="K35" s="56">
        <v>16914</v>
      </c>
      <c r="L35" s="57">
        <f>SUM(H35:K35)</f>
        <v>85154</v>
      </c>
      <c r="M35" s="56">
        <v>18125</v>
      </c>
      <c r="N35" s="56">
        <v>25176</v>
      </c>
      <c r="O35" s="56">
        <v>27828</v>
      </c>
      <c r="P35" s="56">
        <v>27749</v>
      </c>
      <c r="Q35" s="57">
        <f>SUM(M35:P35)</f>
        <v>98878</v>
      </c>
      <c r="R35" s="56">
        <f>'Income Statement'!N18</f>
        <v>25318</v>
      </c>
      <c r="S35" s="56">
        <f>'Income Statement'!O18</f>
        <v>27262</v>
      </c>
      <c r="T35" s="56">
        <f>'Income Statement'!P18</f>
        <v>26107</v>
      </c>
      <c r="U35" s="56">
        <f>'Income Statement'!Q18</f>
        <v>30216</v>
      </c>
      <c r="V35" s="57">
        <f>SUM(R35:U35)</f>
        <v>108903</v>
      </c>
      <c r="W35" s="56">
        <f>'Income Statement'!S18</f>
        <v>23368</v>
      </c>
      <c r="X35" s="56">
        <f>'Income Statement'!T18</f>
        <v>24495</v>
      </c>
      <c r="Y35" s="56">
        <f>'Income Statement'!U18</f>
        <v>23943</v>
      </c>
      <c r="Z35" s="56">
        <f>'Income Statement'!V18</f>
        <v>32395</v>
      </c>
      <c r="AA35" s="57">
        <f>SUM(W35:Z35)</f>
        <v>104201</v>
      </c>
    </row>
    <row r="36" spans="2:27" s="9" customFormat="1" ht="15" customHeight="1" outlineLevel="1">
      <c r="B36" s="79" t="s">
        <v>0</v>
      </c>
      <c r="C36" s="10"/>
      <c r="D36" s="10"/>
      <c r="E36" s="10"/>
      <c r="F36" s="10"/>
      <c r="G36" s="59">
        <f t="shared" ref="G36" si="39">G35/G$10</f>
        <v>0.53157650343327967</v>
      </c>
      <c r="H36" s="72">
        <f t="shared" ref="H36" si="40">H35/H$10</f>
        <v>0.50445922535663112</v>
      </c>
      <c r="I36" s="72">
        <f t="shared" ref="I36" si="41">I35/I$10</f>
        <v>0.43922759335715478</v>
      </c>
      <c r="J36" s="72">
        <f t="shared" ref="J36" si="42">J35/J$10</f>
        <v>0.35400280780095061</v>
      </c>
      <c r="K36" s="72">
        <f t="shared" ref="K36" si="43">K35/K$10</f>
        <v>0.28091679123069258</v>
      </c>
      <c r="L36" s="59">
        <f t="shared" ref="L36" si="44">L35/L$10</f>
        <v>0.38688602050876642</v>
      </c>
      <c r="M36" s="72">
        <f t="shared" ref="M36" si="45">M35/M$10</f>
        <v>0.29013462246482369</v>
      </c>
      <c r="N36" s="72">
        <f t="shared" ref="N36" si="46">N35/N$10</f>
        <v>0.38844658396593224</v>
      </c>
      <c r="O36" s="72">
        <f t="shared" ref="O36" si="47">O35/O$10</f>
        <v>0.34775871333774883</v>
      </c>
      <c r="P36" s="72">
        <f t="shared" ref="P36" si="48">P35/P$10</f>
        <v>0.35432095612646203</v>
      </c>
      <c r="Q36" s="59">
        <f>Q35/Q$10</f>
        <v>0.34618724178979066</v>
      </c>
      <c r="R36" s="72">
        <f t="shared" ref="R36:S36" si="49">R35/R$10</f>
        <v>0.30684393596005383</v>
      </c>
      <c r="S36" s="72">
        <f t="shared" si="49"/>
        <v>0.30243058251888666</v>
      </c>
      <c r="T36" s="72">
        <f t="shared" ref="T36:U36" si="50">T35/T$10</f>
        <v>0.25540761321502292</v>
      </c>
      <c r="U36" s="72">
        <f t="shared" si="50"/>
        <v>0.28586295304680182</v>
      </c>
      <c r="V36" s="59">
        <f>V35/V$10</f>
        <v>0.2861561018677149</v>
      </c>
      <c r="W36" s="72">
        <f t="shared" ref="W36:X36" si="51">W35/W$10</f>
        <v>0.23500306726872291</v>
      </c>
      <c r="X36" s="72">
        <f t="shared" si="51"/>
        <v>0.23404133344798922</v>
      </c>
      <c r="Y36" s="72">
        <f t="shared" ref="Y36:Z36" si="52">Y35/Y$10</f>
        <v>0.19993653603667549</v>
      </c>
      <c r="Z36" s="72">
        <f t="shared" si="52"/>
        <v>0.27182714495489824</v>
      </c>
      <c r="AA36" s="59">
        <f>AA35/AA$10</f>
        <v>0.23520290005552721</v>
      </c>
    </row>
    <row r="37" spans="2:27" s="9" customFormat="1" ht="15" customHeight="1" outlineLevel="1">
      <c r="B37" s="80" t="s">
        <v>1</v>
      </c>
      <c r="C37" s="10"/>
      <c r="D37" s="10"/>
      <c r="E37" s="10"/>
      <c r="F37" s="10"/>
      <c r="G37" s="62"/>
      <c r="H37" s="10"/>
      <c r="I37" s="10"/>
      <c r="J37" s="10"/>
      <c r="K37" s="10"/>
      <c r="L37" s="62"/>
      <c r="M37" s="10"/>
      <c r="N37" s="10"/>
      <c r="O37" s="10"/>
      <c r="P37" s="10"/>
      <c r="Q37" s="62"/>
      <c r="R37" s="10"/>
      <c r="S37" s="10"/>
      <c r="T37" s="10"/>
      <c r="U37" s="10"/>
      <c r="V37" s="62"/>
      <c r="W37" s="10"/>
      <c r="X37" s="10"/>
      <c r="Y37" s="10"/>
      <c r="Z37" s="10"/>
      <c r="AA37" s="62"/>
    </row>
    <row r="38" spans="2:27" s="9" customFormat="1" ht="15" customHeight="1" outlineLevel="1">
      <c r="B38" s="63" t="s">
        <v>10</v>
      </c>
      <c r="C38" s="10"/>
      <c r="D38" s="10"/>
      <c r="E38" s="10"/>
      <c r="F38" s="10"/>
      <c r="G38" s="62">
        <v>17470.519759999992</v>
      </c>
      <c r="H38" s="85">
        <v>2616</v>
      </c>
      <c r="I38" s="85">
        <v>3134.1282299999998</v>
      </c>
      <c r="J38" s="85">
        <v>3189.7097500000009</v>
      </c>
      <c r="K38" s="85">
        <v>2251.7584100000017</v>
      </c>
      <c r="L38" s="62">
        <f>SUM(H38:K38)</f>
        <v>11191.596390000002</v>
      </c>
      <c r="M38" s="85">
        <v>2824</v>
      </c>
      <c r="N38" s="85">
        <v>3286.4592899999998</v>
      </c>
      <c r="O38" s="85">
        <v>9625</v>
      </c>
      <c r="P38" s="85">
        <v>10083</v>
      </c>
      <c r="Q38" s="62">
        <f>SUM(M38:P38)</f>
        <v>25818.459289999999</v>
      </c>
      <c r="R38" s="85">
        <v>4504</v>
      </c>
      <c r="S38" s="85">
        <v>6190</v>
      </c>
      <c r="T38" s="85">
        <v>7135</v>
      </c>
      <c r="U38" s="85">
        <v>6563</v>
      </c>
      <c r="V38" s="62">
        <f>SUM(R38:U38)</f>
        <v>24392</v>
      </c>
      <c r="W38" s="85">
        <v>2701</v>
      </c>
      <c r="X38" s="85">
        <v>6345</v>
      </c>
      <c r="Y38" s="85">
        <v>6318</v>
      </c>
      <c r="Z38" s="85">
        <v>11682</v>
      </c>
      <c r="AA38" s="62">
        <f>SUM(W38:Z38)</f>
        <v>27046</v>
      </c>
    </row>
    <row r="39" spans="2:27" s="9" customFormat="1" ht="15" customHeight="1" outlineLevel="1">
      <c r="B39" s="63" t="s">
        <v>91</v>
      </c>
      <c r="C39" s="10"/>
      <c r="D39" s="10"/>
      <c r="E39" s="10"/>
      <c r="F39" s="10"/>
      <c r="G39" s="62">
        <v>8639.0499999999975</v>
      </c>
      <c r="H39" s="85">
        <f>H50</f>
        <v>7119</v>
      </c>
      <c r="I39" s="85">
        <f t="shared" ref="I39:K39" si="53">I50</f>
        <v>5453</v>
      </c>
      <c r="J39" s="85">
        <f t="shared" si="53"/>
        <v>5214.1000000000004</v>
      </c>
      <c r="K39" s="85">
        <f t="shared" si="53"/>
        <v>0</v>
      </c>
      <c r="L39" s="62">
        <f>SUM(H39:K39)</f>
        <v>17786.099999999999</v>
      </c>
      <c r="M39" s="85">
        <v>0</v>
      </c>
      <c r="N39" s="85">
        <v>2122</v>
      </c>
      <c r="O39" s="85">
        <v>700</v>
      </c>
      <c r="P39" s="85">
        <v>-705</v>
      </c>
      <c r="Q39" s="62">
        <f>SUM(M39:P39)</f>
        <v>2117</v>
      </c>
      <c r="R39" s="85">
        <v>0</v>
      </c>
      <c r="S39" s="85">
        <v>0</v>
      </c>
      <c r="T39" s="85">
        <v>0</v>
      </c>
      <c r="U39" s="85">
        <v>0</v>
      </c>
      <c r="V39" s="62">
        <f>SUM(R39:U39)</f>
        <v>0</v>
      </c>
      <c r="W39" s="85">
        <v>3605</v>
      </c>
      <c r="X39" s="85">
        <v>258</v>
      </c>
      <c r="Y39" s="85">
        <v>0</v>
      </c>
      <c r="Z39" s="85">
        <v>0</v>
      </c>
      <c r="AA39" s="62">
        <f>SUM(W39:Z39)</f>
        <v>3863</v>
      </c>
    </row>
    <row r="40" spans="2:27" s="9" customFormat="1" ht="15" customHeight="1" outlineLevel="1">
      <c r="B40" s="66" t="s">
        <v>26</v>
      </c>
      <c r="C40" s="13"/>
      <c r="D40" s="13"/>
      <c r="E40" s="13"/>
      <c r="F40" s="13"/>
      <c r="G40" s="67">
        <v>0</v>
      </c>
      <c r="H40" s="68">
        <v>0</v>
      </c>
      <c r="I40" s="68">
        <v>0</v>
      </c>
      <c r="J40" s="68">
        <v>0</v>
      </c>
      <c r="K40" s="68">
        <v>0</v>
      </c>
      <c r="L40" s="67">
        <v>0</v>
      </c>
      <c r="M40" s="68">
        <v>0</v>
      </c>
      <c r="N40" s="68">
        <v>0</v>
      </c>
      <c r="O40" s="68">
        <v>432</v>
      </c>
      <c r="P40" s="68">
        <v>408</v>
      </c>
      <c r="Q40" s="67">
        <f>SUM(M40:P40)</f>
        <v>840</v>
      </c>
      <c r="R40" s="68">
        <v>419</v>
      </c>
      <c r="S40" s="68">
        <v>418</v>
      </c>
      <c r="T40" s="68">
        <v>0</v>
      </c>
      <c r="U40" s="68">
        <v>0</v>
      </c>
      <c r="V40" s="67">
        <f>SUM(R40:U40)</f>
        <v>837</v>
      </c>
      <c r="W40" s="68">
        <v>0</v>
      </c>
      <c r="X40" s="68">
        <v>0</v>
      </c>
      <c r="Y40" s="68">
        <v>0</v>
      </c>
      <c r="Z40" s="68">
        <v>0</v>
      </c>
      <c r="AA40" s="67">
        <f>SUM(W40:Z40)</f>
        <v>0</v>
      </c>
    </row>
    <row r="41" spans="2:27" s="84" customFormat="1" ht="15" customHeight="1" outlineLevel="1">
      <c r="B41" s="81" t="s">
        <v>5</v>
      </c>
      <c r="C41" s="86"/>
      <c r="D41" s="86"/>
      <c r="E41" s="86"/>
      <c r="F41" s="87"/>
      <c r="G41" s="70">
        <f>G35-G38-G39</f>
        <v>66788.739979999955</v>
      </c>
      <c r="H41" s="88">
        <f t="shared" ref="H41:L41" si="54">H35-H38-H39</f>
        <v>13852</v>
      </c>
      <c r="I41" s="88">
        <f>I35-I38-I39-0.6</f>
        <v>15136.271770000001</v>
      </c>
      <c r="J41" s="88">
        <f t="shared" si="54"/>
        <v>12525.190249999998</v>
      </c>
      <c r="K41" s="88">
        <f t="shared" si="54"/>
        <v>14662.241589999998</v>
      </c>
      <c r="L41" s="89">
        <f t="shared" si="54"/>
        <v>56176.303609999995</v>
      </c>
      <c r="M41" s="88">
        <f t="shared" ref="M41:O41" si="55">M35-M38-M39-M40</f>
        <v>15301</v>
      </c>
      <c r="N41" s="88">
        <f t="shared" si="55"/>
        <v>19767.540710000001</v>
      </c>
      <c r="O41" s="88">
        <f t="shared" si="55"/>
        <v>17071</v>
      </c>
      <c r="P41" s="88">
        <f>P35-P38-P39-P40</f>
        <v>17963</v>
      </c>
      <c r="Q41" s="89">
        <f>Q35-Q38-Q39-Q40-1</f>
        <v>70101.540710000001</v>
      </c>
      <c r="R41" s="90">
        <f t="shared" ref="R41:S41" si="56">R35-R38-R39-R40</f>
        <v>20395</v>
      </c>
      <c r="S41" s="90">
        <f t="shared" si="56"/>
        <v>20654</v>
      </c>
      <c r="T41" s="90">
        <f t="shared" ref="T41:U41" si="57">T35-T38-T39-T40</f>
        <v>18972</v>
      </c>
      <c r="U41" s="90">
        <f t="shared" si="57"/>
        <v>23653</v>
      </c>
      <c r="V41" s="55">
        <f>V35-V38-V39-V40</f>
        <v>83674</v>
      </c>
      <c r="W41" s="90">
        <f t="shared" ref="W41:X41" si="58">W35-W38-W39-W40</f>
        <v>17062</v>
      </c>
      <c r="X41" s="90">
        <f t="shared" si="58"/>
        <v>17892</v>
      </c>
      <c r="Y41" s="90">
        <f t="shared" ref="Y41:Z41" si="59">Y35-Y38-Y39-Y40</f>
        <v>17625</v>
      </c>
      <c r="Z41" s="90">
        <f t="shared" si="59"/>
        <v>20713</v>
      </c>
      <c r="AA41" s="55">
        <f>AA35-AA38-AA39-AA40</f>
        <v>73292</v>
      </c>
    </row>
    <row r="42" spans="2:27" s="9" customFormat="1" ht="15" customHeight="1" outlineLevel="1">
      <c r="B42" s="79" t="s">
        <v>90</v>
      </c>
      <c r="C42" s="10"/>
      <c r="D42" s="10"/>
      <c r="E42" s="10"/>
      <c r="F42" s="10"/>
      <c r="G42" s="59">
        <f>G41/G$10</f>
        <v>0.38217406717784363</v>
      </c>
      <c r="H42" s="72">
        <f t="shared" ref="H42" si="60">H41/H$10</f>
        <v>0.29625510618730883</v>
      </c>
      <c r="I42" s="72">
        <f t="shared" ref="I42" si="61">I41/I$10</f>
        <v>0.28023386536574529</v>
      </c>
      <c r="J42" s="72">
        <f t="shared" ref="J42" si="62">J41/J$10</f>
        <v>0.21185687403798986</v>
      </c>
      <c r="K42" s="72">
        <f t="shared" ref="K42" si="63">K41/K$10</f>
        <v>0.24351837884072411</v>
      </c>
      <c r="L42" s="59">
        <f>L41/L$10</f>
        <v>0.25522966097382566</v>
      </c>
      <c r="M42" s="72">
        <f t="shared" ref="M42" si="64">M41/M$10</f>
        <v>0.24492964735637335</v>
      </c>
      <c r="N42" s="72">
        <f t="shared" ref="N42" si="65">N41/N$10</f>
        <v>0.30499815944578168</v>
      </c>
      <c r="O42" s="72">
        <f t="shared" ref="O42" si="66">O41/O$10</f>
        <v>0.2133315004811237</v>
      </c>
      <c r="P42" s="72">
        <f t="shared" ref="P42" si="67">P41/P$10</f>
        <v>0.22936564686654068</v>
      </c>
      <c r="Q42" s="59">
        <f>Q41/Q$10</f>
        <v>0.24543638649254254</v>
      </c>
      <c r="R42" s="72">
        <f t="shared" ref="R42:S42" si="68">R41/R$10</f>
        <v>0.24717916399025586</v>
      </c>
      <c r="S42" s="72">
        <f t="shared" si="68"/>
        <v>0.22912483498441366</v>
      </c>
      <c r="T42" s="72">
        <f t="shared" ref="T42:U42" si="69">T41/T$10</f>
        <v>0.18560513417533286</v>
      </c>
      <c r="U42" s="72">
        <f t="shared" si="69"/>
        <v>0.22377271738204937</v>
      </c>
      <c r="V42" s="59">
        <f>V41/V$10</f>
        <v>0.21986378398831233</v>
      </c>
      <c r="W42" s="72">
        <f t="shared" ref="W42:X42" si="70">W41/W$10</f>
        <v>0.17158602934521355</v>
      </c>
      <c r="X42" s="72">
        <f t="shared" si="70"/>
        <v>0.17095193051853125</v>
      </c>
      <c r="Y42" s="72">
        <f t="shared" ref="Y42:Z42" si="71">Y41/Y$10</f>
        <v>0.14717794126243183</v>
      </c>
      <c r="Z42" s="72">
        <f t="shared" si="71"/>
        <v>0.17380323054331864</v>
      </c>
      <c r="AA42" s="59">
        <f>AA41/AA$10</f>
        <v>0.1654349857570436</v>
      </c>
    </row>
    <row r="43" spans="2:27" s="9" customFormat="1" ht="15" customHeight="1" outlineLevel="1">
      <c r="B43" s="10"/>
      <c r="C43" s="10"/>
      <c r="D43" s="10"/>
      <c r="E43" s="10"/>
      <c r="F43" s="10"/>
      <c r="G43" s="62"/>
      <c r="H43" s="10"/>
      <c r="I43" s="10"/>
      <c r="J43" s="10"/>
      <c r="K43" s="10"/>
      <c r="L43" s="62"/>
      <c r="M43" s="10"/>
      <c r="N43" s="10"/>
      <c r="O43" s="10"/>
      <c r="P43" s="10"/>
      <c r="Q43" s="62"/>
      <c r="R43" s="10"/>
      <c r="S43" s="10"/>
      <c r="T43" s="10"/>
      <c r="U43" s="10"/>
      <c r="V43" s="62"/>
      <c r="W43" s="10"/>
      <c r="X43" s="10"/>
      <c r="Y43" s="10"/>
      <c r="Z43" s="10"/>
      <c r="AA43" s="62"/>
    </row>
    <row r="44" spans="2:27" s="9" customFormat="1" ht="15" customHeight="1">
      <c r="B44" s="10" t="s">
        <v>39</v>
      </c>
      <c r="C44" s="92"/>
      <c r="D44" s="92"/>
      <c r="E44" s="92"/>
      <c r="F44" s="92"/>
      <c r="G44" s="93">
        <v>-131412</v>
      </c>
      <c r="H44" s="94">
        <v>-39819</v>
      </c>
      <c r="I44" s="94">
        <v>-38133</v>
      </c>
      <c r="J44" s="94">
        <v>-27689</v>
      </c>
      <c r="K44" s="94">
        <v>-27883</v>
      </c>
      <c r="L44" s="93">
        <f>SUM(H44:K44)</f>
        <v>-133524</v>
      </c>
      <c r="M44" s="94">
        <v>-29602</v>
      </c>
      <c r="N44" s="94">
        <v>-38199</v>
      </c>
      <c r="O44" s="94">
        <v>-48211</v>
      </c>
      <c r="P44" s="94">
        <v>-82134</v>
      </c>
      <c r="Q44" s="93">
        <f>SUM(M44:P44)</f>
        <v>-198146</v>
      </c>
      <c r="R44" s="94">
        <f>'Income Statement'!N22</f>
        <v>-48375</v>
      </c>
      <c r="S44" s="94">
        <f>'Income Statement'!O22</f>
        <v>-50273</v>
      </c>
      <c r="T44" s="94">
        <f>'Income Statement'!P22</f>
        <v>-41485</v>
      </c>
      <c r="U44" s="94">
        <f>'Income Statement'!Q22</f>
        <v>-40789</v>
      </c>
      <c r="V44" s="93">
        <f>SUM(R44:U44)</f>
        <v>-180922</v>
      </c>
      <c r="W44" s="94">
        <f>'Income Statement'!S22</f>
        <v>-26007</v>
      </c>
      <c r="X44" s="94">
        <f>'Income Statement'!T22</f>
        <v>-26852</v>
      </c>
      <c r="Y44" s="94">
        <f>'Income Statement'!U22</f>
        <v>-15781</v>
      </c>
      <c r="Z44" s="94">
        <f>'Income Statement'!V22</f>
        <v>-51908</v>
      </c>
      <c r="AA44" s="93">
        <f>SUM(W44:Z44)</f>
        <v>-120548</v>
      </c>
    </row>
    <row r="45" spans="2:27" s="9" customFormat="1" ht="15" customHeight="1">
      <c r="B45" s="79" t="s">
        <v>0</v>
      </c>
      <c r="C45" s="10"/>
      <c r="D45" s="10"/>
      <c r="E45" s="10"/>
      <c r="F45" s="10"/>
      <c r="G45" s="59">
        <f t="shared" ref="G45:L45" si="72">G44/G10</f>
        <v>-0.75195696955825131</v>
      </c>
      <c r="H45" s="72">
        <f t="shared" si="72"/>
        <v>-0.85161580084265454</v>
      </c>
      <c r="I45" s="72">
        <f t="shared" si="72"/>
        <v>-0.70599670449706553</v>
      </c>
      <c r="J45" s="72">
        <f t="shared" si="72"/>
        <v>-0.46834458145159924</v>
      </c>
      <c r="K45" s="72">
        <f t="shared" si="72"/>
        <v>-0.46309583125726622</v>
      </c>
      <c r="L45" s="59">
        <f t="shared" si="72"/>
        <v>-0.60664876579388549</v>
      </c>
      <c r="M45" s="72">
        <f>M44/$P$10</f>
        <v>-0.37798151080239034</v>
      </c>
      <c r="N45" s="72">
        <f>N44/$P$10</f>
        <v>-0.48775473721844836</v>
      </c>
      <c r="O45" s="72">
        <f>O44/$P$10</f>
        <v>-0.61559579140916287</v>
      </c>
      <c r="P45" s="72">
        <f>P44/$P$10</f>
        <v>-1.0487512130343735</v>
      </c>
      <c r="Q45" s="59">
        <f>Q44/$Q$10</f>
        <v>-0.69373993417827884</v>
      </c>
      <c r="R45" s="72">
        <f t="shared" ref="R45:X45" si="73">R44/R10</f>
        <v>-0.58628546496830725</v>
      </c>
      <c r="S45" s="72">
        <f t="shared" si="73"/>
        <v>-0.55770276116836581</v>
      </c>
      <c r="T45" s="72">
        <f t="shared" si="73"/>
        <v>-0.40585225549566117</v>
      </c>
      <c r="U45" s="72">
        <f t="shared" si="73"/>
        <v>-0.38589038892725708</v>
      </c>
      <c r="V45" s="59">
        <f t="shared" si="73"/>
        <v>-0.4753949318394417</v>
      </c>
      <c r="W45" s="72">
        <f t="shared" si="73"/>
        <v>-0.26154248418596698</v>
      </c>
      <c r="X45" s="72">
        <f t="shared" si="73"/>
        <v>-0.25656166098164551</v>
      </c>
      <c r="Y45" s="72">
        <f t="shared" ref="Y45:AA45" si="74">Y44/Y10</f>
        <v>-0.13177957963474818</v>
      </c>
      <c r="Z45" s="72">
        <f t="shared" si="74"/>
        <v>-0.43556114956996012</v>
      </c>
      <c r="AA45" s="59">
        <f t="shared" si="74"/>
        <v>-0.27210141165529789</v>
      </c>
    </row>
    <row r="46" spans="2:27" s="9" customFormat="1" ht="15" customHeight="1">
      <c r="B46" s="80" t="s">
        <v>1</v>
      </c>
      <c r="C46" s="10"/>
      <c r="D46" s="10"/>
      <c r="E46" s="10"/>
      <c r="F46" s="10"/>
      <c r="G46" s="62"/>
      <c r="H46" s="10"/>
      <c r="I46" s="10"/>
      <c r="J46" s="10"/>
      <c r="K46" s="10"/>
      <c r="L46" s="62"/>
      <c r="M46" s="10"/>
      <c r="N46" s="10"/>
      <c r="O46" s="10"/>
      <c r="P46" s="10"/>
      <c r="Q46" s="62"/>
      <c r="R46" s="10"/>
      <c r="S46" s="10"/>
      <c r="T46" s="10"/>
      <c r="U46" s="10"/>
      <c r="V46" s="62"/>
      <c r="W46" s="10"/>
      <c r="X46" s="10"/>
      <c r="Y46" s="10"/>
      <c r="Z46" s="10"/>
      <c r="AA46" s="62"/>
    </row>
    <row r="47" spans="2:27" s="9" customFormat="1" ht="15" customHeight="1">
      <c r="B47" s="95" t="s">
        <v>29</v>
      </c>
      <c r="C47" s="56"/>
      <c r="D47" s="56"/>
      <c r="E47" s="56"/>
      <c r="F47" s="56"/>
      <c r="G47" s="57">
        <f t="shared" ref="G47:S47" si="75">G15</f>
        <v>18618</v>
      </c>
      <c r="H47" s="56">
        <f t="shared" si="75"/>
        <v>5959</v>
      </c>
      <c r="I47" s="56">
        <f t="shared" si="75"/>
        <v>6015</v>
      </c>
      <c r="J47" s="56">
        <f t="shared" si="75"/>
        <v>5965</v>
      </c>
      <c r="K47" s="56">
        <f t="shared" si="75"/>
        <v>5956</v>
      </c>
      <c r="L47" s="57">
        <f t="shared" si="75"/>
        <v>23895</v>
      </c>
      <c r="M47" s="56">
        <f t="shared" si="75"/>
        <v>5970</v>
      </c>
      <c r="N47" s="56">
        <f t="shared" si="75"/>
        <v>3548</v>
      </c>
      <c r="O47" s="56">
        <f t="shared" si="75"/>
        <v>3359</v>
      </c>
      <c r="P47" s="56">
        <f t="shared" si="75"/>
        <v>2981</v>
      </c>
      <c r="Q47" s="57">
        <f t="shared" si="75"/>
        <v>15858</v>
      </c>
      <c r="R47" s="56">
        <f t="shared" si="75"/>
        <v>3123</v>
      </c>
      <c r="S47" s="56">
        <f t="shared" si="75"/>
        <v>5369</v>
      </c>
      <c r="T47" s="56">
        <f t="shared" ref="T47:U47" si="76">T15</f>
        <v>5369</v>
      </c>
      <c r="U47" s="56">
        <f t="shared" si="76"/>
        <v>5181</v>
      </c>
      <c r="V47" s="280">
        <f t="shared" ref="V47:V51" si="77">SUM(R47:U47)</f>
        <v>19042</v>
      </c>
      <c r="W47" s="56">
        <f t="shared" ref="W47:X47" si="78">W15</f>
        <v>5306</v>
      </c>
      <c r="X47" s="56">
        <f t="shared" si="78"/>
        <v>4350</v>
      </c>
      <c r="Y47" s="56">
        <f t="shared" ref="Y47:Z47" si="79">Y15</f>
        <v>4213</v>
      </c>
      <c r="Z47" s="56">
        <f t="shared" si="79"/>
        <v>4177</v>
      </c>
      <c r="AA47" s="280">
        <f t="shared" ref="AA47:AA51" si="80">SUM(W47:Z47)</f>
        <v>18046</v>
      </c>
    </row>
    <row r="48" spans="2:27" s="9" customFormat="1" ht="15" customHeight="1">
      <c r="B48" s="95" t="s">
        <v>30</v>
      </c>
      <c r="C48" s="10"/>
      <c r="D48" s="10"/>
      <c r="E48" s="10"/>
      <c r="F48" s="10"/>
      <c r="G48" s="62">
        <v>39795</v>
      </c>
      <c r="H48" s="96">
        <v>12400</v>
      </c>
      <c r="I48" s="96">
        <v>13154</v>
      </c>
      <c r="J48" s="96">
        <v>13290</v>
      </c>
      <c r="K48" s="96">
        <v>14022</v>
      </c>
      <c r="L48" s="62">
        <f>SUM(H48:K48)</f>
        <v>52866</v>
      </c>
      <c r="M48" s="96">
        <v>17798</v>
      </c>
      <c r="N48" s="96">
        <v>17667</v>
      </c>
      <c r="O48" s="96">
        <v>26082</v>
      </c>
      <c r="P48" s="96">
        <f>P16+P24+P31+P38</f>
        <v>41175</v>
      </c>
      <c r="Q48" s="62">
        <f t="shared" ref="Q48:Q51" si="81">SUM(M48:P48)</f>
        <v>102722</v>
      </c>
      <c r="R48" s="85">
        <f>R16+R24+R31+R38</f>
        <v>18630</v>
      </c>
      <c r="S48" s="97">
        <f>S16+S24+S31+S38</f>
        <v>23354</v>
      </c>
      <c r="T48" s="97">
        <f>T16+T24+T31+T38</f>
        <v>30295</v>
      </c>
      <c r="U48" s="97">
        <f>U16+U24+U31+U38</f>
        <v>17168</v>
      </c>
      <c r="V48" s="62">
        <f t="shared" si="77"/>
        <v>89447</v>
      </c>
      <c r="W48" s="85">
        <f>W16+W24+W31+W38</f>
        <v>16485</v>
      </c>
      <c r="X48" s="97">
        <f>X16+X24+X31+X38</f>
        <v>24204</v>
      </c>
      <c r="Y48" s="97">
        <f>Y16+Y24+Y31+Y38</f>
        <v>23894</v>
      </c>
      <c r="Z48" s="97">
        <f>Z16+Z24+Z31+Z38</f>
        <v>47124</v>
      </c>
      <c r="AA48" s="62">
        <f t="shared" si="80"/>
        <v>111707</v>
      </c>
    </row>
    <row r="49" spans="2:27" s="9" customFormat="1" ht="15" customHeight="1">
      <c r="B49" s="95" t="s">
        <v>92</v>
      </c>
      <c r="C49" s="10"/>
      <c r="D49" s="10"/>
      <c r="E49" s="10"/>
      <c r="F49" s="10"/>
      <c r="G49" s="62">
        <v>4672</v>
      </c>
      <c r="H49" s="96">
        <v>-3</v>
      </c>
      <c r="I49" s="96">
        <v>2833</v>
      </c>
      <c r="J49" s="96">
        <v>-788</v>
      </c>
      <c r="K49" s="96">
        <v>681</v>
      </c>
      <c r="L49" s="62">
        <f>SUM(H49:K49)</f>
        <v>2723</v>
      </c>
      <c r="M49" s="96">
        <v>1</v>
      </c>
      <c r="N49" s="96">
        <v>489</v>
      </c>
      <c r="O49" s="96">
        <v>5043</v>
      </c>
      <c r="P49" s="96">
        <v>14400</v>
      </c>
      <c r="Q49" s="62">
        <f t="shared" si="81"/>
        <v>19933</v>
      </c>
      <c r="R49" s="85">
        <v>2276</v>
      </c>
      <c r="S49" s="85">
        <v>45</v>
      </c>
      <c r="T49" s="85">
        <v>233</v>
      </c>
      <c r="U49" s="85">
        <v>2447</v>
      </c>
      <c r="V49" s="62">
        <f t="shared" si="77"/>
        <v>5001</v>
      </c>
      <c r="W49" s="85">
        <v>1995</v>
      </c>
      <c r="X49" s="85">
        <v>-619</v>
      </c>
      <c r="Y49" s="85">
        <v>-6</v>
      </c>
      <c r="Z49" s="85">
        <v>1345</v>
      </c>
      <c r="AA49" s="62">
        <f t="shared" si="80"/>
        <v>2715</v>
      </c>
    </row>
    <row r="50" spans="2:27" s="9" customFormat="1" ht="15" customHeight="1">
      <c r="B50" s="95" t="s">
        <v>93</v>
      </c>
      <c r="C50" s="10"/>
      <c r="D50" s="10"/>
      <c r="E50" s="10"/>
      <c r="F50" s="10"/>
      <c r="G50" s="62">
        <v>8639.0499999999975</v>
      </c>
      <c r="H50" s="96">
        <v>7119</v>
      </c>
      <c r="I50" s="96">
        <v>5453</v>
      </c>
      <c r="J50" s="96">
        <v>5214.1000000000004</v>
      </c>
      <c r="K50" s="85">
        <v>0</v>
      </c>
      <c r="L50" s="62">
        <f>SUM(H50:K50)</f>
        <v>17786.099999999999</v>
      </c>
      <c r="M50" s="96">
        <v>0</v>
      </c>
      <c r="N50" s="96">
        <v>2122</v>
      </c>
      <c r="O50" s="96">
        <v>700</v>
      </c>
      <c r="P50" s="85">
        <f>P39</f>
        <v>-705</v>
      </c>
      <c r="Q50" s="62">
        <f t="shared" si="81"/>
        <v>2117</v>
      </c>
      <c r="R50" s="85">
        <f>R39</f>
        <v>0</v>
      </c>
      <c r="S50" s="85">
        <f>S39</f>
        <v>0</v>
      </c>
      <c r="T50" s="85">
        <f>T39</f>
        <v>0</v>
      </c>
      <c r="U50" s="85">
        <f>U39</f>
        <v>0</v>
      </c>
      <c r="V50" s="62">
        <f t="shared" si="77"/>
        <v>0</v>
      </c>
      <c r="W50" s="85">
        <f>W39</f>
        <v>3605</v>
      </c>
      <c r="X50" s="85">
        <f>X39</f>
        <v>258</v>
      </c>
      <c r="Y50" s="85">
        <f>Y39</f>
        <v>0</v>
      </c>
      <c r="Z50" s="85">
        <f>Z39</f>
        <v>0</v>
      </c>
      <c r="AA50" s="62">
        <f t="shared" si="80"/>
        <v>3863</v>
      </c>
    </row>
    <row r="51" spans="2:27" s="9" customFormat="1" ht="15" customHeight="1">
      <c r="B51" s="98" t="s">
        <v>27</v>
      </c>
      <c r="C51" s="13"/>
      <c r="D51" s="13"/>
      <c r="E51" s="13"/>
      <c r="F51" s="13"/>
      <c r="G51" s="67">
        <v>0</v>
      </c>
      <c r="H51" s="68">
        <v>0</v>
      </c>
      <c r="I51" s="68">
        <v>0</v>
      </c>
      <c r="J51" s="68">
        <v>0</v>
      </c>
      <c r="K51" s="68">
        <v>0</v>
      </c>
      <c r="L51" s="67">
        <v>0</v>
      </c>
      <c r="M51" s="68">
        <v>0</v>
      </c>
      <c r="N51" s="68">
        <v>0</v>
      </c>
      <c r="O51" s="99">
        <v>1959</v>
      </c>
      <c r="P51" s="68">
        <f>P17+P40</f>
        <v>1853</v>
      </c>
      <c r="Q51" s="67">
        <f t="shared" si="81"/>
        <v>3812</v>
      </c>
      <c r="R51" s="68">
        <f>R17+R40</f>
        <v>1906</v>
      </c>
      <c r="S51" s="68">
        <f>S17+S40</f>
        <v>1663</v>
      </c>
      <c r="T51" s="68">
        <f>T17+T40</f>
        <v>0</v>
      </c>
      <c r="U51" s="68">
        <f>U17+U40</f>
        <v>0</v>
      </c>
      <c r="V51" s="67">
        <f t="shared" si="77"/>
        <v>3569</v>
      </c>
      <c r="W51" s="68">
        <f>W17+W40</f>
        <v>0</v>
      </c>
      <c r="X51" s="68">
        <f>X17+X40</f>
        <v>0</v>
      </c>
      <c r="Y51" s="68">
        <f>Y17+Y40</f>
        <v>0</v>
      </c>
      <c r="Z51" s="68">
        <f>Z17+Z40</f>
        <v>0</v>
      </c>
      <c r="AA51" s="67">
        <f t="shared" si="80"/>
        <v>0</v>
      </c>
    </row>
    <row r="52" spans="2:27" s="84" customFormat="1" ht="15" customHeight="1">
      <c r="B52" s="100" t="s">
        <v>203</v>
      </c>
      <c r="C52" s="88"/>
      <c r="D52" s="88"/>
      <c r="E52" s="88"/>
      <c r="F52" s="88"/>
      <c r="G52" s="91">
        <f t="shared" ref="G52:S52" si="82">G44+G47+G48+G49+G50+G51</f>
        <v>-59687.950000000004</v>
      </c>
      <c r="H52" s="90">
        <f t="shared" si="82"/>
        <v>-14344</v>
      </c>
      <c r="I52" s="90">
        <f t="shared" si="82"/>
        <v>-10678</v>
      </c>
      <c r="J52" s="90">
        <f t="shared" si="82"/>
        <v>-4007.8999999999996</v>
      </c>
      <c r="K52" s="90">
        <f t="shared" si="82"/>
        <v>-7224</v>
      </c>
      <c r="L52" s="91">
        <f t="shared" si="82"/>
        <v>-36253.9</v>
      </c>
      <c r="M52" s="90">
        <f t="shared" si="82"/>
        <v>-5833</v>
      </c>
      <c r="N52" s="90">
        <f t="shared" si="82"/>
        <v>-14373</v>
      </c>
      <c r="O52" s="90">
        <f t="shared" si="82"/>
        <v>-11068</v>
      </c>
      <c r="P52" s="90">
        <f t="shared" si="82"/>
        <v>-22430</v>
      </c>
      <c r="Q52" s="91">
        <f t="shared" si="82"/>
        <v>-53704</v>
      </c>
      <c r="R52" s="90">
        <f t="shared" si="82"/>
        <v>-22440</v>
      </c>
      <c r="S52" s="90">
        <f t="shared" si="82"/>
        <v>-19842</v>
      </c>
      <c r="T52" s="90">
        <f t="shared" ref="T52:X52" si="83">T44+T47+T48+T49+T50+T51</f>
        <v>-5588</v>
      </c>
      <c r="U52" s="90">
        <f t="shared" si="83"/>
        <v>-15993</v>
      </c>
      <c r="V52" s="91">
        <f t="shared" si="83"/>
        <v>-63863</v>
      </c>
      <c r="W52" s="90">
        <f t="shared" si="83"/>
        <v>1384</v>
      </c>
      <c r="X52" s="90">
        <f t="shared" si="83"/>
        <v>1341</v>
      </c>
      <c r="Y52" s="90">
        <f t="shared" ref="Y52:AA52" si="84">Y44+Y47+Y48+Y49+Y50+Y51</f>
        <v>12320</v>
      </c>
      <c r="Z52" s="90">
        <f t="shared" si="84"/>
        <v>738</v>
      </c>
      <c r="AA52" s="91">
        <f t="shared" si="84"/>
        <v>15783</v>
      </c>
    </row>
    <row r="53" spans="2:27" s="9" customFormat="1" ht="15" customHeight="1">
      <c r="B53" s="79" t="s">
        <v>0</v>
      </c>
      <c r="C53" s="72"/>
      <c r="D53" s="72"/>
      <c r="E53" s="72"/>
      <c r="F53" s="72"/>
      <c r="G53" s="59">
        <f t="shared" ref="G53" si="85">G52/G$10</f>
        <v>-0.34154240100709549</v>
      </c>
      <c r="H53" s="72">
        <f t="shared" ref="H53" si="86">H52/H$10</f>
        <v>-0.30677759479863975</v>
      </c>
      <c r="I53" s="72">
        <f t="shared" ref="I53" si="87">I52/I$10</f>
        <v>-0.19769314794586487</v>
      </c>
      <c r="J53" s="72">
        <f t="shared" ref="J53" si="88">J52/J$10</f>
        <v>-6.7791478493259574E-2</v>
      </c>
      <c r="K53" s="72">
        <f t="shared" ref="K53" si="89">K52/K$10</f>
        <v>-0.11998006975585451</v>
      </c>
      <c r="L53" s="59">
        <f t="shared" ref="L53" si="90">L52/L$10</f>
        <v>-0.16471483546190158</v>
      </c>
      <c r="M53" s="72">
        <f t="shared" ref="M53" si="91">M52/M$10</f>
        <v>-9.3371324294472632E-2</v>
      </c>
      <c r="N53" s="72">
        <f t="shared" ref="N53" si="92">N52/N$10</f>
        <v>-0.22176448805776708</v>
      </c>
      <c r="O53" s="72">
        <f t="shared" ref="O53" si="93">O52/O$10</f>
        <v>-0.13831369265567789</v>
      </c>
      <c r="P53" s="72">
        <f t="shared" ref="P53" si="94">P52/P$10</f>
        <v>-0.28640379998978499</v>
      </c>
      <c r="Q53" s="59">
        <f>Q52/Q$10</f>
        <v>-0.18802604859603669</v>
      </c>
      <c r="R53" s="72">
        <f t="shared" ref="R53:S53" si="95">R52/R$10</f>
        <v>-0.27196373816824421</v>
      </c>
      <c r="S53" s="72">
        <f t="shared" si="95"/>
        <v>-0.22011692532975383</v>
      </c>
      <c r="T53" s="72">
        <f t="shared" ref="T53:U53" si="96">T52/T$10</f>
        <v>-5.4668010213565259E-2</v>
      </c>
      <c r="U53" s="72">
        <f t="shared" si="96"/>
        <v>-0.1513041503864675</v>
      </c>
      <c r="V53" s="59">
        <f>V52/V$10</f>
        <v>-0.1678079312193225</v>
      </c>
      <c r="W53" s="72">
        <f t="shared" ref="W53:X53" si="97">W52/W$10</f>
        <v>1.3918360368876776E-2</v>
      </c>
      <c r="X53" s="72">
        <f t="shared" si="97"/>
        <v>1.2812795597213862E-2</v>
      </c>
      <c r="Y53" s="72">
        <f t="shared" ref="Y53:Z53" si="98">Y52/Y$10</f>
        <v>0.10287842475762611</v>
      </c>
      <c r="Z53" s="72">
        <f t="shared" si="98"/>
        <v>6.1925739458779105E-3</v>
      </c>
      <c r="AA53" s="59">
        <f>AA52/AA$10</f>
        <v>3.5625448619268398E-2</v>
      </c>
    </row>
    <row r="54" spans="2:27" s="9" customFormat="1" ht="15" customHeight="1">
      <c r="B54" s="10"/>
      <c r="C54" s="10"/>
      <c r="D54" s="10"/>
      <c r="E54" s="10"/>
      <c r="F54" s="10"/>
      <c r="G54" s="62"/>
      <c r="H54" s="10"/>
      <c r="I54" s="10"/>
      <c r="J54" s="10"/>
      <c r="K54" s="10"/>
      <c r="L54" s="62"/>
      <c r="M54" s="10"/>
      <c r="N54" s="10"/>
      <c r="O54" s="10"/>
      <c r="P54" s="10"/>
      <c r="Q54" s="62"/>
      <c r="R54" s="10"/>
      <c r="S54" s="10"/>
      <c r="T54" s="10"/>
      <c r="U54" s="10"/>
      <c r="V54" s="62"/>
      <c r="W54" s="10"/>
      <c r="X54" s="10"/>
      <c r="Y54" s="10"/>
      <c r="Z54" s="10"/>
      <c r="AA54" s="62"/>
    </row>
    <row r="55" spans="2:27" s="84" customFormat="1" ht="15" customHeight="1">
      <c r="B55" s="81" t="s">
        <v>42</v>
      </c>
      <c r="C55" s="88"/>
      <c r="D55" s="88"/>
      <c r="E55" s="88"/>
      <c r="F55" s="88"/>
      <c r="G55" s="101">
        <f>'Income Statement'!C27</f>
        <v>-130760</v>
      </c>
      <c r="H55" s="88">
        <f>'Income Statement'!D27</f>
        <v>-40399</v>
      </c>
      <c r="I55" s="88">
        <f>'Income Statement'!E27</f>
        <v>-37870</v>
      </c>
      <c r="J55" s="88">
        <f>'Income Statement'!F27</f>
        <v>-27257</v>
      </c>
      <c r="K55" s="88">
        <f>'Income Statement'!G27</f>
        <v>-27496</v>
      </c>
      <c r="L55" s="101">
        <f>SUM(H55:K55)</f>
        <v>-133022</v>
      </c>
      <c r="M55" s="88">
        <f>'Income Statement'!I27</f>
        <v>-29246</v>
      </c>
      <c r="N55" s="88">
        <f>'Income Statement'!J27</f>
        <v>-38480</v>
      </c>
      <c r="O55" s="88">
        <f>'Income Statement'!K27</f>
        <v>-37807</v>
      </c>
      <c r="P55" s="88">
        <f>'Income Statement'!L27</f>
        <v>-73823</v>
      </c>
      <c r="Q55" s="101">
        <f>SUM(M55:P55)</f>
        <v>-179356</v>
      </c>
      <c r="R55" s="88">
        <f>'Income Statement'!N27</f>
        <v>-42493</v>
      </c>
      <c r="S55" s="88">
        <f>'Income Statement'!O27</f>
        <v>-45493</v>
      </c>
      <c r="T55" s="88">
        <f>'Income Statement'!P27</f>
        <v>-38327</v>
      </c>
      <c r="U55" s="88">
        <f>'Income Statement'!Q27</f>
        <v>-39224</v>
      </c>
      <c r="V55" s="101">
        <f>SUM(R55:U55)</f>
        <v>-165537</v>
      </c>
      <c r="W55" s="88">
        <f>'Income Statement'!S27</f>
        <v>-25544</v>
      </c>
      <c r="X55" s="88">
        <f>'Income Statement'!T27</f>
        <v>-27077</v>
      </c>
      <c r="Y55" s="88">
        <f>'Income Statement'!U27</f>
        <v>-15867</v>
      </c>
      <c r="Z55" s="88">
        <f>'Income Statement'!V27</f>
        <v>-52312</v>
      </c>
      <c r="AA55" s="101">
        <f>SUM(W55:Z55)</f>
        <v>-120800</v>
      </c>
    </row>
    <row r="56" spans="2:27" s="9" customFormat="1" ht="15" customHeight="1">
      <c r="B56" s="10"/>
      <c r="C56" s="10"/>
      <c r="D56" s="10"/>
      <c r="E56" s="10"/>
      <c r="F56" s="10"/>
      <c r="G56" s="62"/>
      <c r="H56" s="10"/>
      <c r="I56" s="10"/>
      <c r="J56" s="10"/>
      <c r="K56" s="10"/>
      <c r="L56" s="62"/>
      <c r="M56" s="10"/>
      <c r="N56" s="10"/>
      <c r="O56" s="10"/>
      <c r="P56" s="10"/>
      <c r="Q56" s="62"/>
      <c r="R56" s="10"/>
      <c r="S56" s="10"/>
      <c r="T56" s="10"/>
      <c r="U56" s="10"/>
      <c r="V56" s="62"/>
      <c r="W56" s="10"/>
      <c r="X56" s="10"/>
      <c r="Y56" s="10"/>
      <c r="Z56" s="10"/>
      <c r="AA56" s="62"/>
    </row>
    <row r="57" spans="2:27" s="9" customFormat="1" ht="15" customHeight="1">
      <c r="B57" s="80" t="s">
        <v>1</v>
      </c>
      <c r="C57" s="10"/>
      <c r="D57" s="10"/>
      <c r="E57" s="10"/>
      <c r="F57" s="10"/>
      <c r="G57" s="62"/>
      <c r="H57" s="10"/>
      <c r="I57" s="10"/>
      <c r="J57" s="10"/>
      <c r="K57" s="10"/>
      <c r="L57" s="62"/>
      <c r="M57" s="10"/>
      <c r="N57" s="10"/>
      <c r="O57" s="10"/>
      <c r="P57" s="10"/>
      <c r="Q57" s="62"/>
      <c r="R57" s="10"/>
      <c r="S57" s="10"/>
      <c r="T57" s="10"/>
      <c r="U57" s="10"/>
      <c r="V57" s="62"/>
      <c r="W57" s="10"/>
      <c r="X57" s="10"/>
      <c r="Y57" s="10"/>
      <c r="Z57" s="10"/>
      <c r="AA57" s="62"/>
    </row>
    <row r="58" spans="2:27" s="9" customFormat="1" ht="15" customHeight="1">
      <c r="B58" s="95" t="s">
        <v>29</v>
      </c>
      <c r="C58" s="56"/>
      <c r="D58" s="56"/>
      <c r="E58" s="56"/>
      <c r="F58" s="56"/>
      <c r="G58" s="57">
        <v>18618.054930000002</v>
      </c>
      <c r="H58" s="56">
        <f t="shared" ref="H58:K62" si="99">H47</f>
        <v>5959</v>
      </c>
      <c r="I58" s="56">
        <f t="shared" si="99"/>
        <v>6015</v>
      </c>
      <c r="J58" s="56">
        <f t="shared" si="99"/>
        <v>5965</v>
      </c>
      <c r="K58" s="56">
        <f t="shared" si="99"/>
        <v>5956</v>
      </c>
      <c r="L58" s="57">
        <f>SUM(H58:K58)</f>
        <v>23895</v>
      </c>
      <c r="M58" s="56">
        <f t="shared" ref="M58:P62" si="100">M47</f>
        <v>5970</v>
      </c>
      <c r="N58" s="56">
        <f t="shared" si="100"/>
        <v>3548</v>
      </c>
      <c r="O58" s="56">
        <f t="shared" si="100"/>
        <v>3359</v>
      </c>
      <c r="P58" s="56">
        <f t="shared" si="100"/>
        <v>2981</v>
      </c>
      <c r="Q58" s="57">
        <f t="shared" ref="Q58:Q62" si="101">SUM(M58:P58)</f>
        <v>15858</v>
      </c>
      <c r="R58" s="56">
        <f t="shared" ref="R58:S62" si="102">R47</f>
        <v>3123</v>
      </c>
      <c r="S58" s="56">
        <f t="shared" si="102"/>
        <v>5369</v>
      </c>
      <c r="T58" s="56">
        <f t="shared" ref="T58:U58" si="103">T47</f>
        <v>5369</v>
      </c>
      <c r="U58" s="56">
        <f t="shared" si="103"/>
        <v>5181</v>
      </c>
      <c r="V58" s="57">
        <f t="shared" ref="V58:V62" si="104">SUM(R58:U58)</f>
        <v>19042</v>
      </c>
      <c r="W58" s="56">
        <f t="shared" ref="W58:X58" si="105">W47</f>
        <v>5306</v>
      </c>
      <c r="X58" s="56">
        <f t="shared" si="105"/>
        <v>4350</v>
      </c>
      <c r="Y58" s="56">
        <f t="shared" ref="Y58:Z58" si="106">Y47</f>
        <v>4213</v>
      </c>
      <c r="Z58" s="56">
        <f t="shared" si="106"/>
        <v>4177</v>
      </c>
      <c r="AA58" s="57">
        <f t="shared" ref="AA58:AA62" si="107">SUM(W58:Z58)</f>
        <v>18046</v>
      </c>
    </row>
    <row r="59" spans="2:27" s="9" customFormat="1" ht="15" customHeight="1">
      <c r="B59" s="95" t="s">
        <v>30</v>
      </c>
      <c r="C59" s="10"/>
      <c r="D59" s="10"/>
      <c r="E59" s="10"/>
      <c r="F59" s="10"/>
      <c r="G59" s="62">
        <v>39795</v>
      </c>
      <c r="H59" s="96">
        <f t="shared" si="99"/>
        <v>12400</v>
      </c>
      <c r="I59" s="96">
        <f t="shared" si="99"/>
        <v>13154</v>
      </c>
      <c r="J59" s="96">
        <f t="shared" si="99"/>
        <v>13290</v>
      </c>
      <c r="K59" s="96">
        <f t="shared" si="99"/>
        <v>14022</v>
      </c>
      <c r="L59" s="62">
        <f>SUM(H59:K59)</f>
        <v>52866</v>
      </c>
      <c r="M59" s="96">
        <f t="shared" si="100"/>
        <v>17798</v>
      </c>
      <c r="N59" s="96">
        <f t="shared" si="100"/>
        <v>17667</v>
      </c>
      <c r="O59" s="96">
        <f t="shared" si="100"/>
        <v>26082</v>
      </c>
      <c r="P59" s="96">
        <f t="shared" si="100"/>
        <v>41175</v>
      </c>
      <c r="Q59" s="62">
        <f t="shared" si="101"/>
        <v>102722</v>
      </c>
      <c r="R59" s="96">
        <f t="shared" si="102"/>
        <v>18630</v>
      </c>
      <c r="S59" s="85">
        <f t="shared" si="102"/>
        <v>23354</v>
      </c>
      <c r="T59" s="85">
        <f t="shared" ref="T59:U59" si="108">T48</f>
        <v>30295</v>
      </c>
      <c r="U59" s="85">
        <f t="shared" si="108"/>
        <v>17168</v>
      </c>
      <c r="V59" s="62">
        <f t="shared" si="104"/>
        <v>89447</v>
      </c>
      <c r="W59" s="96">
        <f t="shared" ref="W59:X59" si="109">W48</f>
        <v>16485</v>
      </c>
      <c r="X59" s="85">
        <f t="shared" si="109"/>
        <v>24204</v>
      </c>
      <c r="Y59" s="85">
        <f t="shared" ref="Y59:Z59" si="110">Y48</f>
        <v>23894</v>
      </c>
      <c r="Z59" s="85">
        <f t="shared" si="110"/>
        <v>47124</v>
      </c>
      <c r="AA59" s="62">
        <f t="shared" si="107"/>
        <v>111707</v>
      </c>
    </row>
    <row r="60" spans="2:27" s="9" customFormat="1" ht="15" customHeight="1">
      <c r="B60" s="95" t="s">
        <v>92</v>
      </c>
      <c r="C60" s="10"/>
      <c r="D60" s="10"/>
      <c r="E60" s="10"/>
      <c r="F60" s="10"/>
      <c r="G60" s="62">
        <v>4672</v>
      </c>
      <c r="H60" s="96">
        <f t="shared" si="99"/>
        <v>-3</v>
      </c>
      <c r="I60" s="96">
        <f t="shared" si="99"/>
        <v>2833</v>
      </c>
      <c r="J60" s="96">
        <f t="shared" si="99"/>
        <v>-788</v>
      </c>
      <c r="K60" s="96">
        <f t="shared" si="99"/>
        <v>681</v>
      </c>
      <c r="L60" s="62">
        <f>SUM(H60:K60)</f>
        <v>2723</v>
      </c>
      <c r="M60" s="96">
        <f t="shared" si="100"/>
        <v>1</v>
      </c>
      <c r="N60" s="96">
        <f t="shared" si="100"/>
        <v>489</v>
      </c>
      <c r="O60" s="96">
        <f t="shared" si="100"/>
        <v>5043</v>
      </c>
      <c r="P60" s="96">
        <f t="shared" si="100"/>
        <v>14400</v>
      </c>
      <c r="Q60" s="62">
        <f t="shared" si="101"/>
        <v>19933</v>
      </c>
      <c r="R60" s="96">
        <f t="shared" si="102"/>
        <v>2276</v>
      </c>
      <c r="S60" s="85">
        <f t="shared" si="102"/>
        <v>45</v>
      </c>
      <c r="T60" s="85">
        <f t="shared" ref="T60:U60" si="111">T49</f>
        <v>233</v>
      </c>
      <c r="U60" s="85">
        <f t="shared" si="111"/>
        <v>2447</v>
      </c>
      <c r="V60" s="62">
        <f t="shared" si="104"/>
        <v>5001</v>
      </c>
      <c r="W60" s="96">
        <f t="shared" ref="W60:X60" si="112">W49</f>
        <v>1995</v>
      </c>
      <c r="X60" s="85">
        <f t="shared" si="112"/>
        <v>-619</v>
      </c>
      <c r="Y60" s="85">
        <f t="shared" ref="Y60:Z60" si="113">Y49</f>
        <v>-6</v>
      </c>
      <c r="Z60" s="85">
        <f t="shared" si="113"/>
        <v>1345</v>
      </c>
      <c r="AA60" s="62">
        <f t="shared" si="107"/>
        <v>2715</v>
      </c>
    </row>
    <row r="61" spans="2:27" s="9" customFormat="1" ht="15" customHeight="1">
      <c r="B61" s="95" t="s">
        <v>93</v>
      </c>
      <c r="C61" s="10"/>
      <c r="D61" s="10"/>
      <c r="E61" s="10"/>
      <c r="F61" s="10"/>
      <c r="G61" s="62">
        <v>8639.0499999999975</v>
      </c>
      <c r="H61" s="85">
        <f t="shared" si="99"/>
        <v>7119</v>
      </c>
      <c r="I61" s="85">
        <f t="shared" si="99"/>
        <v>5453</v>
      </c>
      <c r="J61" s="85">
        <f t="shared" si="99"/>
        <v>5214.1000000000004</v>
      </c>
      <c r="K61" s="85">
        <f t="shared" si="99"/>
        <v>0</v>
      </c>
      <c r="L61" s="62">
        <f>SUM(H61:K61)</f>
        <v>17786.099999999999</v>
      </c>
      <c r="M61" s="85">
        <f t="shared" si="100"/>
        <v>0</v>
      </c>
      <c r="N61" s="85">
        <f t="shared" si="100"/>
        <v>2122</v>
      </c>
      <c r="O61" s="85">
        <f t="shared" si="100"/>
        <v>700</v>
      </c>
      <c r="P61" s="85">
        <f t="shared" si="100"/>
        <v>-705</v>
      </c>
      <c r="Q61" s="62">
        <f t="shared" si="101"/>
        <v>2117</v>
      </c>
      <c r="R61" s="85">
        <f t="shared" si="102"/>
        <v>0</v>
      </c>
      <c r="S61" s="85">
        <f t="shared" si="102"/>
        <v>0</v>
      </c>
      <c r="T61" s="85">
        <f t="shared" ref="T61:U61" si="114">T50</f>
        <v>0</v>
      </c>
      <c r="U61" s="85">
        <f t="shared" si="114"/>
        <v>0</v>
      </c>
      <c r="V61" s="62">
        <f t="shared" si="104"/>
        <v>0</v>
      </c>
      <c r="W61" s="85">
        <f t="shared" ref="W61:X61" si="115">W50</f>
        <v>3605</v>
      </c>
      <c r="X61" s="85">
        <f t="shared" si="115"/>
        <v>258</v>
      </c>
      <c r="Y61" s="85">
        <f t="shared" ref="Y61:Z61" si="116">Y50</f>
        <v>0</v>
      </c>
      <c r="Z61" s="85">
        <f t="shared" si="116"/>
        <v>0</v>
      </c>
      <c r="AA61" s="62">
        <f t="shared" si="107"/>
        <v>3863</v>
      </c>
    </row>
    <row r="62" spans="2:27" s="9" customFormat="1" ht="15" customHeight="1">
      <c r="B62" s="98" t="s">
        <v>27</v>
      </c>
      <c r="C62" s="13"/>
      <c r="D62" s="13"/>
      <c r="E62" s="13"/>
      <c r="F62" s="13"/>
      <c r="G62" s="67">
        <v>0</v>
      </c>
      <c r="H62" s="68">
        <f t="shared" si="99"/>
        <v>0</v>
      </c>
      <c r="I62" s="68">
        <f t="shared" si="99"/>
        <v>0</v>
      </c>
      <c r="J62" s="68">
        <f t="shared" si="99"/>
        <v>0</v>
      </c>
      <c r="K62" s="68">
        <f t="shared" si="99"/>
        <v>0</v>
      </c>
      <c r="L62" s="67">
        <v>0</v>
      </c>
      <c r="M62" s="68">
        <f t="shared" si="100"/>
        <v>0</v>
      </c>
      <c r="N62" s="68">
        <f t="shared" si="100"/>
        <v>0</v>
      </c>
      <c r="O62" s="68">
        <f t="shared" si="100"/>
        <v>1959</v>
      </c>
      <c r="P62" s="68">
        <f t="shared" si="100"/>
        <v>1853</v>
      </c>
      <c r="Q62" s="67">
        <f t="shared" si="101"/>
        <v>3812</v>
      </c>
      <c r="R62" s="68">
        <f t="shared" si="102"/>
        <v>1906</v>
      </c>
      <c r="S62" s="68">
        <f t="shared" si="102"/>
        <v>1663</v>
      </c>
      <c r="T62" s="68">
        <f t="shared" ref="T62:U62" si="117">T51</f>
        <v>0</v>
      </c>
      <c r="U62" s="68">
        <f t="shared" si="117"/>
        <v>0</v>
      </c>
      <c r="V62" s="67">
        <f t="shared" si="104"/>
        <v>3569</v>
      </c>
      <c r="W62" s="68">
        <f t="shared" ref="W62:X62" si="118">W51</f>
        <v>0</v>
      </c>
      <c r="X62" s="68">
        <f t="shared" si="118"/>
        <v>0</v>
      </c>
      <c r="Y62" s="68">
        <f t="shared" ref="Y62:Z62" si="119">Y51</f>
        <v>0</v>
      </c>
      <c r="Z62" s="68">
        <f t="shared" si="119"/>
        <v>0</v>
      </c>
      <c r="AA62" s="67">
        <f t="shared" si="107"/>
        <v>0</v>
      </c>
    </row>
    <row r="63" spans="2:27" s="84" customFormat="1" ht="15" customHeight="1">
      <c r="B63" s="81" t="s">
        <v>205</v>
      </c>
      <c r="C63" s="88"/>
      <c r="D63" s="88"/>
      <c r="E63" s="88"/>
      <c r="F63" s="88"/>
      <c r="G63" s="89">
        <f>G55+SUM(G58:G62)</f>
        <v>-59035.895069999999</v>
      </c>
      <c r="H63" s="88">
        <f>H55+SUM(H58:H62)</f>
        <v>-14924</v>
      </c>
      <c r="I63" s="88">
        <f t="shared" ref="I63:Q63" si="120">I55+SUM(I58:I62)</f>
        <v>-10415</v>
      </c>
      <c r="J63" s="88">
        <f t="shared" si="120"/>
        <v>-3575.9000000000015</v>
      </c>
      <c r="K63" s="88">
        <f t="shared" si="120"/>
        <v>-6837</v>
      </c>
      <c r="L63" s="89">
        <f t="shared" si="120"/>
        <v>-35751.899999999994</v>
      </c>
      <c r="M63" s="88">
        <f t="shared" si="120"/>
        <v>-5477</v>
      </c>
      <c r="N63" s="88">
        <f t="shared" si="120"/>
        <v>-14654</v>
      </c>
      <c r="O63" s="88">
        <f t="shared" si="120"/>
        <v>-664</v>
      </c>
      <c r="P63" s="88">
        <f t="shared" si="120"/>
        <v>-14119</v>
      </c>
      <c r="Q63" s="89">
        <f t="shared" si="120"/>
        <v>-34914</v>
      </c>
      <c r="R63" s="88">
        <f t="shared" ref="R63:S63" si="121">R55+SUM(R58:R62)</f>
        <v>-16558</v>
      </c>
      <c r="S63" s="88">
        <f t="shared" si="121"/>
        <v>-15062</v>
      </c>
      <c r="T63" s="88">
        <f t="shared" ref="T63:X63" si="122">T55+SUM(T58:T62)</f>
        <v>-2430</v>
      </c>
      <c r="U63" s="88">
        <f t="shared" si="122"/>
        <v>-14428</v>
      </c>
      <c r="V63" s="89">
        <f t="shared" si="122"/>
        <v>-48478</v>
      </c>
      <c r="W63" s="88">
        <f t="shared" si="122"/>
        <v>1847</v>
      </c>
      <c r="X63" s="88">
        <f t="shared" si="122"/>
        <v>1116</v>
      </c>
      <c r="Y63" s="88">
        <f t="shared" ref="Y63:AA63" si="123">Y55+SUM(Y58:Y62)</f>
        <v>12234</v>
      </c>
      <c r="Z63" s="88">
        <f t="shared" si="123"/>
        <v>334</v>
      </c>
      <c r="AA63" s="89">
        <f t="shared" si="123"/>
        <v>15531</v>
      </c>
    </row>
    <row r="64" spans="2:27" ht="15" customHeight="1">
      <c r="B64" s="58" t="s">
        <v>0</v>
      </c>
      <c r="G64" s="59">
        <f t="shared" ref="G64" si="124">G63/G$10</f>
        <v>-0.33781125583657584</v>
      </c>
      <c r="H64" s="72">
        <f t="shared" ref="H64" si="125">H63/H$10</f>
        <v>-0.31918215454370469</v>
      </c>
      <c r="I64" s="72">
        <f t="shared" ref="I64" si="126">I63/I$10</f>
        <v>-0.19282394978986539</v>
      </c>
      <c r="J64" s="72">
        <f t="shared" ref="J64" si="127">J63/J$10</f>
        <v>-6.0484430236295079E-2</v>
      </c>
      <c r="K64" s="72">
        <f t="shared" ref="K64" si="128">K63/K$10</f>
        <v>-0.11355256601893374</v>
      </c>
      <c r="L64" s="59">
        <f t="shared" ref="L64" si="129">L63/L$10</f>
        <v>-0.16243406436136135</v>
      </c>
      <c r="M64" s="72">
        <f t="shared" ref="M64" si="130">M63/M$10</f>
        <v>-8.7672680123577346E-2</v>
      </c>
      <c r="N64" s="72">
        <f t="shared" ref="N64" si="131">N63/N$10</f>
        <v>-0.22610010491884219</v>
      </c>
      <c r="O64" s="72">
        <f t="shared" ref="O64" si="132">O63/O$10</f>
        <v>-8.2978218217717847E-3</v>
      </c>
      <c r="P64" s="72">
        <f t="shared" ref="P64" si="133">P63/P$10</f>
        <v>-0.1802824454772971</v>
      </c>
      <c r="Q64" s="59">
        <f>Q63/Q$10</f>
        <v>-0.12223933898186401</v>
      </c>
      <c r="R64" s="72">
        <f t="shared" ref="R64:S64" si="134">R63/R$10</f>
        <v>-0.20067627346656811</v>
      </c>
      <c r="S64" s="72">
        <f t="shared" si="134"/>
        <v>-0.16709006800306181</v>
      </c>
      <c r="T64" s="72">
        <f t="shared" ref="T64:U64" si="135">T63/T$10</f>
        <v>-2.3772953618282675E-2</v>
      </c>
      <c r="U64" s="72">
        <f t="shared" si="135"/>
        <v>-0.13649823558906726</v>
      </c>
      <c r="V64" s="59">
        <f>V63/V$10</f>
        <v>-0.12738194086795665</v>
      </c>
      <c r="W64" s="72">
        <f t="shared" ref="W64:X64" si="136">W63/W$10</f>
        <v>1.8574574856441768E-2</v>
      </c>
      <c r="X64" s="72">
        <f t="shared" si="136"/>
        <v>1.0662997678218248E-2</v>
      </c>
      <c r="Y64" s="72">
        <f t="shared" ref="Y64:Z64" si="137">Y63/Y$10</f>
        <v>0.10216027990948034</v>
      </c>
      <c r="Z64" s="72">
        <f t="shared" si="137"/>
        <v>2.802601216698133E-3</v>
      </c>
      <c r="AA64" s="59">
        <f>AA63/AA$10</f>
        <v>3.5056633245001419E-2</v>
      </c>
    </row>
    <row r="65" spans="2:27" ht="15" customHeight="1">
      <c r="G65" s="102"/>
      <c r="L65" s="102"/>
      <c r="Q65" s="102"/>
      <c r="V65" s="102"/>
      <c r="AA65" s="102"/>
    </row>
    <row r="66" spans="2:27" ht="15" customHeight="1">
      <c r="B66" s="45" t="s">
        <v>188</v>
      </c>
    </row>
    <row r="67" spans="2:27" ht="15" customHeight="1">
      <c r="L67" s="103"/>
      <c r="P67" s="1"/>
    </row>
    <row r="68" spans="2:27" ht="15" customHeight="1">
      <c r="L68" s="103"/>
    </row>
    <row r="77" spans="2:27" ht="15" customHeight="1">
      <c r="C77" s="104"/>
      <c r="D77" s="104"/>
      <c r="E77" s="104"/>
      <c r="F77" s="104"/>
      <c r="G77" s="105"/>
      <c r="H77" s="104"/>
      <c r="I77" s="104"/>
      <c r="J77" s="104"/>
      <c r="K77" s="104"/>
      <c r="L77" s="105"/>
      <c r="M77" s="104"/>
      <c r="N77" s="104"/>
      <c r="O77" s="104"/>
      <c r="P77" s="104"/>
      <c r="Q77" s="105"/>
      <c r="R77" s="104"/>
      <c r="S77" s="104"/>
      <c r="T77" s="104"/>
      <c r="U77" s="104"/>
      <c r="V77" s="105"/>
      <c r="W77" s="104"/>
      <c r="X77" s="104"/>
      <c r="Y77" s="104"/>
      <c r="Z77" s="104"/>
      <c r="AA77" s="105"/>
    </row>
  </sheetData>
  <hyperlinks>
    <hyperlink ref="G5" location="Cover!A1" display="Back to Main" xr:uid="{79D79024-C84D-44CF-BB95-ABE8C5813435}"/>
  </hyperlinks>
  <pageMargins left="0.25" right="0.25" top="0.5" bottom="0.5" header="0.3" footer="0.55000000000000004"/>
  <pageSetup scale="49" orientation="landscape" r:id="rId1"/>
  <headerFooter>
    <oddFooter>&amp;L&amp;8&amp;K01+046LiveRamp Holdings, Inc.&amp;C&amp;8&amp;K01+047Page &amp;P of &amp;N</oddFooter>
  </headerFooter>
  <rowBreaks count="1" manualBreakCount="1">
    <brk id="42" max="16383" man="1"/>
  </rowBreaks>
  <ignoredErrors>
    <ignoredError sqref="L31:Q32 L18:P21 Q18:Q21 Q15:Q17 L12 L54:Q54 L43:Q44 M39:P39 L38:P38 L40:Q40 L69:Q79 L65:Q65 L10 Q23:Q25 L23:P23 Q30 L30:P30 L34:Q35 L37:Q37 L46:Q46 P45:Q45 L48:Q51 P47 L56:Q57 L55 Q55 L58:L62 Q58:Q62 L25:P28 L24 N24:P24 Q27:Q2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A63"/>
  <sheetViews>
    <sheetView showGridLines="0" zoomScale="80" zoomScaleNormal="80" zoomScaleSheetLayoutView="80" workbookViewId="0">
      <pane xSplit="2" ySplit="9" topLeftCell="G10" activePane="bottomRight" state="frozen"/>
      <selection pane="topRight"/>
      <selection pane="bottomLeft"/>
      <selection pane="bottomRight" activeCell="O31" sqref="O31"/>
    </sheetView>
  </sheetViews>
  <sheetFormatPr defaultColWidth="8.7109375" defaultRowHeight="15" customHeight="1" outlineLevelRow="1" outlineLevelCol="1"/>
  <cols>
    <col min="1" max="1" width="5.5703125" style="1" customWidth="1"/>
    <col min="2" max="2" width="37.42578125" style="1" customWidth="1"/>
    <col min="3" max="6" width="10.5703125" style="107" hidden="1" customWidth="1" outlineLevel="1"/>
    <col min="7" max="7" width="10.5703125" style="107" customWidth="1" collapsed="1"/>
    <col min="8" max="27" width="10.5703125" style="107" customWidth="1"/>
    <col min="28" max="16384" width="8.7109375" style="1"/>
  </cols>
  <sheetData>
    <row r="5" spans="2:27" ht="15" customHeight="1">
      <c r="B5" s="106"/>
      <c r="C5" s="1"/>
      <c r="G5" s="108" t="s">
        <v>49</v>
      </c>
    </row>
    <row r="6" spans="2:27" s="9" customFormat="1" ht="15" customHeight="1">
      <c r="B6" s="11" t="s">
        <v>48</v>
      </c>
      <c r="C6" s="12"/>
      <c r="D6" s="12"/>
      <c r="E6" s="12"/>
      <c r="F6" s="12"/>
      <c r="G6" s="12"/>
      <c r="H6" s="13"/>
      <c r="I6" s="13"/>
      <c r="J6" s="13"/>
      <c r="K6" s="13"/>
      <c r="L6" s="12"/>
      <c r="M6" s="13"/>
      <c r="N6" s="13"/>
      <c r="O6" s="13"/>
      <c r="P6" s="13"/>
      <c r="Q6" s="12"/>
      <c r="R6" s="13"/>
      <c r="S6" s="13"/>
      <c r="T6" s="13"/>
      <c r="U6" s="13"/>
      <c r="V6" s="12"/>
      <c r="W6" s="13"/>
      <c r="X6" s="13"/>
      <c r="Y6" s="13"/>
      <c r="Z6" s="13"/>
      <c r="AA6" s="12"/>
    </row>
    <row r="7" spans="2:27" s="9" customFormat="1" ht="15" customHeight="1">
      <c r="B7" s="109" t="s">
        <v>156</v>
      </c>
      <c r="C7" s="110"/>
      <c r="D7" s="110"/>
      <c r="E7" s="110"/>
      <c r="F7" s="110"/>
      <c r="G7" s="110"/>
      <c r="H7" s="110"/>
      <c r="I7" s="110"/>
      <c r="J7" s="110"/>
      <c r="K7" s="110"/>
      <c r="L7" s="110"/>
      <c r="M7" s="110"/>
      <c r="N7" s="110"/>
      <c r="O7" s="110"/>
      <c r="P7" s="110"/>
      <c r="Q7" s="110"/>
      <c r="R7" s="110"/>
      <c r="S7" s="110"/>
      <c r="T7" s="110"/>
      <c r="U7" s="110"/>
      <c r="V7" s="110"/>
      <c r="W7" s="110"/>
      <c r="X7" s="110"/>
      <c r="Y7" s="110"/>
      <c r="Z7" s="110"/>
      <c r="AA7" s="110"/>
    </row>
    <row r="8" spans="2:27" s="9" customFormat="1" ht="15" customHeight="1">
      <c r="C8" s="110"/>
      <c r="D8" s="110"/>
      <c r="E8" s="110"/>
      <c r="F8" s="110"/>
      <c r="G8" s="110"/>
      <c r="H8" s="110"/>
      <c r="I8" s="110"/>
      <c r="J8" s="110"/>
      <c r="K8" s="110"/>
      <c r="L8" s="110"/>
      <c r="M8" s="110"/>
      <c r="N8" s="110"/>
      <c r="O8" s="110"/>
      <c r="P8" s="110"/>
      <c r="Q8" s="110"/>
      <c r="R8" s="110"/>
      <c r="S8" s="110"/>
      <c r="T8" s="110"/>
      <c r="U8" s="110"/>
      <c r="V8" s="110"/>
      <c r="W8" s="110"/>
      <c r="X8" s="110"/>
      <c r="Y8" s="110"/>
      <c r="Z8" s="110"/>
      <c r="AA8" s="110"/>
    </row>
    <row r="9" spans="2:27" s="111" customFormat="1" ht="15" customHeight="1">
      <c r="C9" s="50" t="s">
        <v>124</v>
      </c>
      <c r="D9" s="50" t="s">
        <v>125</v>
      </c>
      <c r="E9" s="50" t="s">
        <v>126</v>
      </c>
      <c r="F9" s="50" t="s">
        <v>123</v>
      </c>
      <c r="G9" s="51" t="s">
        <v>122</v>
      </c>
      <c r="H9" s="50" t="s">
        <v>78</v>
      </c>
      <c r="I9" s="50" t="s">
        <v>79</v>
      </c>
      <c r="J9" s="50" t="s">
        <v>80</v>
      </c>
      <c r="K9" s="50" t="s">
        <v>81</v>
      </c>
      <c r="L9" s="51" t="s">
        <v>47</v>
      </c>
      <c r="M9" s="50" t="s">
        <v>82</v>
      </c>
      <c r="N9" s="50" t="s">
        <v>83</v>
      </c>
      <c r="O9" s="50" t="s">
        <v>84</v>
      </c>
      <c r="P9" s="50" t="s">
        <v>85</v>
      </c>
      <c r="Q9" s="51" t="s">
        <v>86</v>
      </c>
      <c r="R9" s="50" t="s">
        <v>158</v>
      </c>
      <c r="S9" s="50" t="s">
        <v>157</v>
      </c>
      <c r="T9" s="50" t="s">
        <v>196</v>
      </c>
      <c r="U9" s="50" t="s">
        <v>197</v>
      </c>
      <c r="V9" s="51" t="s">
        <v>198</v>
      </c>
      <c r="W9" s="50" t="s">
        <v>200</v>
      </c>
      <c r="X9" s="50" t="s">
        <v>201</v>
      </c>
      <c r="Y9" s="50" t="s">
        <v>206</v>
      </c>
      <c r="Z9" s="50" t="s">
        <v>212</v>
      </c>
      <c r="AA9" s="51" t="s">
        <v>211</v>
      </c>
    </row>
    <row r="10" spans="2:27" ht="15" customHeight="1">
      <c r="B10" s="78" t="s">
        <v>46</v>
      </c>
      <c r="C10" s="112"/>
      <c r="D10" s="112"/>
      <c r="E10" s="112"/>
      <c r="F10" s="112"/>
      <c r="G10" s="113"/>
      <c r="H10" s="112"/>
      <c r="I10" s="112"/>
      <c r="J10" s="112"/>
      <c r="K10" s="112"/>
      <c r="L10" s="113"/>
      <c r="M10" s="112"/>
      <c r="N10" s="112"/>
      <c r="O10" s="112"/>
      <c r="P10" s="112"/>
      <c r="Q10" s="113"/>
      <c r="R10" s="112"/>
      <c r="S10" s="112"/>
      <c r="T10" s="112"/>
      <c r="U10" s="112"/>
      <c r="V10" s="113"/>
      <c r="W10" s="112"/>
      <c r="X10" s="112"/>
      <c r="Y10" s="112"/>
      <c r="Z10" s="112"/>
      <c r="AA10" s="113"/>
    </row>
    <row r="11" spans="2:27" ht="15" customHeight="1">
      <c r="B11" s="114" t="s">
        <v>32</v>
      </c>
      <c r="C11" s="115">
        <v>22518</v>
      </c>
      <c r="D11" s="115">
        <v>26142.94248000002</v>
      </c>
      <c r="E11" s="115">
        <v>30299.458300000038</v>
      </c>
      <c r="F11" s="115">
        <v>35570.636430000028</v>
      </c>
      <c r="G11" s="116">
        <v>114531.12591000009</v>
      </c>
      <c r="H11" s="115">
        <v>37077.221460000073</v>
      </c>
      <c r="I11" s="115">
        <v>42291.694209999965</v>
      </c>
      <c r="J11" s="115">
        <v>45788.568579999977</v>
      </c>
      <c r="K11" s="115">
        <v>46896.649709999947</v>
      </c>
      <c r="L11" s="116">
        <v>172054.13395999998</v>
      </c>
      <c r="M11" s="115">
        <v>51328.6643900001</v>
      </c>
      <c r="N11" s="115">
        <v>54852.674740000024</v>
      </c>
      <c r="O11" s="115">
        <v>65002.639440000006</v>
      </c>
      <c r="P11" s="115">
        <v>65534</v>
      </c>
      <c r="Q11" s="116">
        <f>SUM(M11:P11)</f>
        <v>236717.97857000012</v>
      </c>
      <c r="R11" s="115">
        <v>68326</v>
      </c>
      <c r="S11" s="250">
        <v>71967</v>
      </c>
      <c r="T11" s="250">
        <v>81554</v>
      </c>
      <c r="U11" s="115">
        <v>83832</v>
      </c>
      <c r="V11" s="116">
        <f>SUM(R11:U11)</f>
        <v>305679</v>
      </c>
      <c r="W11" s="115">
        <v>82915</v>
      </c>
      <c r="X11" s="250">
        <v>85784</v>
      </c>
      <c r="Y11" s="250">
        <v>93431</v>
      </c>
      <c r="Z11" s="115">
        <v>94467</v>
      </c>
      <c r="AA11" s="116">
        <f>SUM(W11:Z11)</f>
        <v>356597</v>
      </c>
    </row>
    <row r="12" spans="2:27" ht="15" customHeight="1">
      <c r="B12" s="117" t="s">
        <v>33</v>
      </c>
      <c r="C12" s="118">
        <v>10539</v>
      </c>
      <c r="D12" s="118">
        <v>8457.0457219710006</v>
      </c>
      <c r="E12" s="118">
        <v>10917.709193245988</v>
      </c>
      <c r="F12" s="118">
        <v>9940.0451999999896</v>
      </c>
      <c r="G12" s="119">
        <f>G13-G11</f>
        <v>60228.87408999991</v>
      </c>
      <c r="H12" s="118">
        <v>9679.7785399999939</v>
      </c>
      <c r="I12" s="118">
        <v>11721.305790000002</v>
      </c>
      <c r="J12" s="118">
        <v>13332.431420000003</v>
      </c>
      <c r="K12" s="118">
        <v>13313.350290000013</v>
      </c>
      <c r="L12" s="119">
        <v>48046.866040000015</v>
      </c>
      <c r="M12" s="118">
        <v>11142.33561</v>
      </c>
      <c r="N12" s="118">
        <v>9959.3252599999796</v>
      </c>
      <c r="O12" s="118">
        <v>15018.480099999984</v>
      </c>
      <c r="P12" s="118">
        <v>12782</v>
      </c>
      <c r="Q12" s="119">
        <f>SUM(M12:P12)</f>
        <v>48902.140969999964</v>
      </c>
      <c r="R12" s="118">
        <v>14185</v>
      </c>
      <c r="S12" s="253">
        <v>18176</v>
      </c>
      <c r="T12" s="253">
        <v>20663</v>
      </c>
      <c r="U12" s="118">
        <v>21869</v>
      </c>
      <c r="V12" s="119">
        <f>SUM(R12:U12)</f>
        <v>74893</v>
      </c>
      <c r="W12" s="118">
        <v>16522</v>
      </c>
      <c r="X12" s="253">
        <v>18877</v>
      </c>
      <c r="Y12" s="253">
        <v>26322</v>
      </c>
      <c r="Z12" s="118">
        <v>24708</v>
      </c>
      <c r="AA12" s="119">
        <f>SUM(W12:Z12)</f>
        <v>86429</v>
      </c>
    </row>
    <row r="13" spans="2:27" s="77" customFormat="1" ht="15" customHeight="1">
      <c r="B13" s="77" t="s">
        <v>34</v>
      </c>
      <c r="C13" s="120">
        <v>33057</v>
      </c>
      <c r="D13" s="120">
        <v>34599.988201971028</v>
      </c>
      <c r="E13" s="120">
        <v>41217.167493246023</v>
      </c>
      <c r="F13" s="120">
        <v>45510.681630000021</v>
      </c>
      <c r="G13" s="121">
        <v>174760</v>
      </c>
      <c r="H13" s="120">
        <v>46757</v>
      </c>
      <c r="I13" s="120">
        <v>54013</v>
      </c>
      <c r="J13" s="120">
        <v>59121</v>
      </c>
      <c r="K13" s="120">
        <v>60210</v>
      </c>
      <c r="L13" s="121">
        <v>220101</v>
      </c>
      <c r="M13" s="120">
        <v>62471</v>
      </c>
      <c r="N13" s="120">
        <v>64812</v>
      </c>
      <c r="O13" s="120">
        <v>80021</v>
      </c>
      <c r="P13" s="120">
        <f>SUM(P11:P12)</f>
        <v>78316</v>
      </c>
      <c r="Q13" s="121">
        <f>SUM(M13:P13)</f>
        <v>285620</v>
      </c>
      <c r="R13" s="120">
        <f>SUM(R11:R12)</f>
        <v>82511</v>
      </c>
      <c r="S13" s="252">
        <f>SUM(S11:S12)</f>
        <v>90143</v>
      </c>
      <c r="T13" s="252">
        <f>SUM(T11:T12)</f>
        <v>102217</v>
      </c>
      <c r="U13" s="120">
        <f>SUM(U11:U12)</f>
        <v>105701</v>
      </c>
      <c r="V13" s="121">
        <f>SUM(R13:U13)</f>
        <v>380572</v>
      </c>
      <c r="W13" s="120">
        <f>SUM(W11:W12)</f>
        <v>99437</v>
      </c>
      <c r="X13" s="252">
        <f>SUM(X11:X12)</f>
        <v>104661</v>
      </c>
      <c r="Y13" s="252">
        <f>SUM(Y11:Y12)</f>
        <v>119753</v>
      </c>
      <c r="Z13" s="120">
        <f>SUM(Z11:Z12)</f>
        <v>119175</v>
      </c>
      <c r="AA13" s="121">
        <f>SUM(W13:Z13)</f>
        <v>443026</v>
      </c>
    </row>
    <row r="14" spans="2:27" s="48" customFormat="1" ht="15" customHeight="1">
      <c r="B14" s="77"/>
      <c r="C14" s="122"/>
      <c r="D14" s="122"/>
      <c r="E14" s="122"/>
      <c r="F14" s="122"/>
      <c r="G14" s="123"/>
      <c r="H14" s="122"/>
      <c r="I14" s="122"/>
      <c r="J14" s="122"/>
      <c r="K14" s="122"/>
      <c r="L14" s="123"/>
      <c r="M14" s="122"/>
      <c r="N14" s="122"/>
      <c r="O14" s="122"/>
      <c r="P14" s="122"/>
      <c r="Q14" s="123"/>
      <c r="R14" s="122"/>
      <c r="S14" s="122"/>
      <c r="T14" s="122"/>
      <c r="U14" s="122"/>
      <c r="V14" s="123"/>
      <c r="W14" s="122"/>
      <c r="X14" s="122"/>
      <c r="Y14" s="122"/>
      <c r="Z14" s="122"/>
      <c r="AA14" s="123"/>
    </row>
    <row r="15" spans="2:27" s="48" customFormat="1" ht="15" customHeight="1">
      <c r="B15" s="77" t="s">
        <v>43</v>
      </c>
      <c r="C15" s="122"/>
      <c r="D15" s="122"/>
      <c r="E15" s="122"/>
      <c r="F15" s="122"/>
      <c r="G15" s="123"/>
      <c r="H15" s="122"/>
      <c r="I15" s="122"/>
      <c r="J15" s="122"/>
      <c r="K15" s="122"/>
      <c r="L15" s="123"/>
      <c r="M15" s="122"/>
      <c r="N15" s="122"/>
      <c r="O15" s="122"/>
      <c r="P15" s="122"/>
      <c r="Q15" s="123"/>
      <c r="R15" s="122"/>
      <c r="S15" s="122"/>
      <c r="T15" s="122"/>
      <c r="U15" s="122"/>
      <c r="V15" s="123"/>
      <c r="W15" s="122"/>
      <c r="X15" s="122"/>
      <c r="Y15" s="122"/>
      <c r="Z15" s="122"/>
      <c r="AA15" s="123"/>
    </row>
    <row r="16" spans="2:27" s="48" customFormat="1" ht="15" customHeight="1">
      <c r="B16" s="114" t="s">
        <v>44</v>
      </c>
      <c r="C16" s="115">
        <v>30074</v>
      </c>
      <c r="D16" s="115">
        <v>32046</v>
      </c>
      <c r="E16" s="115">
        <v>37632</v>
      </c>
      <c r="F16" s="115">
        <v>42104</v>
      </c>
      <c r="G16" s="116">
        <v>162231</v>
      </c>
      <c r="H16" s="115">
        <v>42117</v>
      </c>
      <c r="I16" s="115">
        <v>49153</v>
      </c>
      <c r="J16" s="115">
        <v>52666</v>
      </c>
      <c r="K16" s="115">
        <v>53677</v>
      </c>
      <c r="L16" s="116">
        <v>197613</v>
      </c>
      <c r="M16" s="115">
        <v>56222</v>
      </c>
      <c r="N16" s="115">
        <v>59959</v>
      </c>
      <c r="O16" s="115">
        <v>73811</v>
      </c>
      <c r="P16" s="115">
        <v>72143</v>
      </c>
      <c r="Q16" s="116">
        <v>262135</v>
      </c>
      <c r="R16" s="115">
        <v>76541</v>
      </c>
      <c r="S16" s="250">
        <v>83907</v>
      </c>
      <c r="T16" s="254">
        <v>95447</v>
      </c>
      <c r="U16" s="115">
        <v>98542</v>
      </c>
      <c r="V16" s="116">
        <f>SUM(R16:U16)</f>
        <v>354437</v>
      </c>
      <c r="W16" s="115">
        <v>93382</v>
      </c>
      <c r="X16" s="250">
        <v>98105</v>
      </c>
      <c r="Y16" s="254">
        <v>112406</v>
      </c>
      <c r="Z16" s="115">
        <v>112082</v>
      </c>
      <c r="AA16" s="116">
        <f>SUM(W16:Z16)</f>
        <v>415975</v>
      </c>
    </row>
    <row r="17" spans="2:27" s="48" customFormat="1" ht="15" customHeight="1">
      <c r="B17" s="117" t="s">
        <v>45</v>
      </c>
      <c r="C17" s="118">
        <v>2983</v>
      </c>
      <c r="D17" s="118">
        <v>2553.9882019710276</v>
      </c>
      <c r="E17" s="118">
        <v>3585.1674932460228</v>
      </c>
      <c r="F17" s="118">
        <v>3406.681630000021</v>
      </c>
      <c r="G17" s="119">
        <v>12529</v>
      </c>
      <c r="H17" s="118">
        <v>4640</v>
      </c>
      <c r="I17" s="118">
        <v>4860</v>
      </c>
      <c r="J17" s="118">
        <v>6455</v>
      </c>
      <c r="K17" s="118">
        <v>6533</v>
      </c>
      <c r="L17" s="119">
        <v>22488</v>
      </c>
      <c r="M17" s="118">
        <v>6249</v>
      </c>
      <c r="N17" s="118">
        <v>4853</v>
      </c>
      <c r="O17" s="118">
        <v>6210</v>
      </c>
      <c r="P17" s="118">
        <v>6173</v>
      </c>
      <c r="Q17" s="119">
        <v>23485</v>
      </c>
      <c r="R17" s="118">
        <v>5970</v>
      </c>
      <c r="S17" s="251">
        <v>6236</v>
      </c>
      <c r="T17" s="255">
        <v>6770</v>
      </c>
      <c r="U17" s="118">
        <v>7159</v>
      </c>
      <c r="V17" s="119">
        <f>SUM(R17:U17)</f>
        <v>26135</v>
      </c>
      <c r="W17" s="118">
        <v>6055</v>
      </c>
      <c r="X17" s="251">
        <v>6556</v>
      </c>
      <c r="Y17" s="255">
        <v>7347</v>
      </c>
      <c r="Z17" s="118">
        <v>7093</v>
      </c>
      <c r="AA17" s="119">
        <f>SUM(W17:Z17)</f>
        <v>27051</v>
      </c>
    </row>
    <row r="18" spans="2:27" s="77" customFormat="1" ht="15" customHeight="1">
      <c r="B18" s="77" t="s">
        <v>34</v>
      </c>
      <c r="C18" s="124">
        <f>C16+C17</f>
        <v>33057</v>
      </c>
      <c r="D18" s="124">
        <f t="shared" ref="D18:Q18" si="0">D16+D17</f>
        <v>34599.988201971028</v>
      </c>
      <c r="E18" s="124">
        <f t="shared" si="0"/>
        <v>41217.167493246023</v>
      </c>
      <c r="F18" s="124">
        <f t="shared" si="0"/>
        <v>45510.681630000021</v>
      </c>
      <c r="G18" s="125">
        <f t="shared" si="0"/>
        <v>174760</v>
      </c>
      <c r="H18" s="124">
        <f t="shared" si="0"/>
        <v>46757</v>
      </c>
      <c r="I18" s="124">
        <f t="shared" si="0"/>
        <v>54013</v>
      </c>
      <c r="J18" s="124">
        <f t="shared" si="0"/>
        <v>59121</v>
      </c>
      <c r="K18" s="124">
        <f t="shared" si="0"/>
        <v>60210</v>
      </c>
      <c r="L18" s="125">
        <f t="shared" si="0"/>
        <v>220101</v>
      </c>
      <c r="M18" s="124">
        <f t="shared" si="0"/>
        <v>62471</v>
      </c>
      <c r="N18" s="124">
        <f t="shared" si="0"/>
        <v>64812</v>
      </c>
      <c r="O18" s="124">
        <f t="shared" si="0"/>
        <v>80021</v>
      </c>
      <c r="P18" s="124">
        <f t="shared" si="0"/>
        <v>78316</v>
      </c>
      <c r="Q18" s="125">
        <f t="shared" si="0"/>
        <v>285620</v>
      </c>
      <c r="R18" s="124">
        <f t="shared" ref="R18" si="1">R16+R17</f>
        <v>82511</v>
      </c>
      <c r="S18" s="252">
        <f>SUM(S16:S17)</f>
        <v>90143</v>
      </c>
      <c r="T18" s="256">
        <f>SUM(T16:T17)</f>
        <v>102217</v>
      </c>
      <c r="U18" s="124">
        <f t="shared" ref="U18:W18" si="2">U16+U17</f>
        <v>105701</v>
      </c>
      <c r="V18" s="125">
        <f t="shared" si="2"/>
        <v>380572</v>
      </c>
      <c r="W18" s="124">
        <f t="shared" si="2"/>
        <v>99437</v>
      </c>
      <c r="X18" s="252">
        <f>SUM(X16:X17)</f>
        <v>104661</v>
      </c>
      <c r="Y18" s="256">
        <f>SUM(Y16:Y17)</f>
        <v>119753</v>
      </c>
      <c r="Z18" s="124">
        <f t="shared" ref="Z18:AA18" si="3">Z16+Z17</f>
        <v>119175</v>
      </c>
      <c r="AA18" s="125">
        <f t="shared" si="3"/>
        <v>443026</v>
      </c>
    </row>
    <row r="19" spans="2:27" ht="15" hidden="1" customHeight="1" outlineLevel="1">
      <c r="C19" s="107" t="b">
        <f>C13=C18</f>
        <v>1</v>
      </c>
      <c r="D19" s="107" t="b">
        <f t="shared" ref="D19:Q19" si="4">D13=D18</f>
        <v>1</v>
      </c>
      <c r="E19" s="107" t="b">
        <f t="shared" si="4"/>
        <v>1</v>
      </c>
      <c r="F19" s="107" t="b">
        <f t="shared" si="4"/>
        <v>1</v>
      </c>
      <c r="G19" s="126" t="b">
        <f t="shared" si="4"/>
        <v>1</v>
      </c>
      <c r="H19" s="107" t="b">
        <f t="shared" si="4"/>
        <v>1</v>
      </c>
      <c r="I19" s="107" t="b">
        <f t="shared" si="4"/>
        <v>1</v>
      </c>
      <c r="J19" s="107" t="b">
        <f t="shared" si="4"/>
        <v>1</v>
      </c>
      <c r="K19" s="107" t="b">
        <f t="shared" si="4"/>
        <v>1</v>
      </c>
      <c r="L19" s="126" t="b">
        <f t="shared" si="4"/>
        <v>1</v>
      </c>
      <c r="M19" s="107" t="b">
        <f t="shared" si="4"/>
        <v>1</v>
      </c>
      <c r="N19" s="107" t="b">
        <f t="shared" si="4"/>
        <v>1</v>
      </c>
      <c r="O19" s="107" t="b">
        <f t="shared" si="4"/>
        <v>1</v>
      </c>
      <c r="P19" s="107" t="b">
        <f t="shared" si="4"/>
        <v>1</v>
      </c>
      <c r="Q19" s="126" t="b">
        <f t="shared" si="4"/>
        <v>1</v>
      </c>
      <c r="R19" s="107" t="b">
        <f t="shared" ref="R19:S19" si="5">R13=R18</f>
        <v>1</v>
      </c>
      <c r="S19" s="107" t="b">
        <f t="shared" si="5"/>
        <v>1</v>
      </c>
      <c r="T19" s="107" t="b">
        <f t="shared" ref="T19:X19" si="6">T13=T18</f>
        <v>1</v>
      </c>
      <c r="U19" s="107" t="b">
        <f t="shared" si="6"/>
        <v>1</v>
      </c>
      <c r="V19" s="126" t="b">
        <f t="shared" si="6"/>
        <v>1</v>
      </c>
      <c r="W19" s="107" t="b">
        <f t="shared" si="6"/>
        <v>1</v>
      </c>
      <c r="X19" s="107" t="b">
        <f t="shared" si="6"/>
        <v>1</v>
      </c>
      <c r="Y19" s="107" t="b">
        <f t="shared" ref="Y19:AA19" si="7">Y13=Y18</f>
        <v>1</v>
      </c>
      <c r="Z19" s="107" t="b">
        <f t="shared" si="7"/>
        <v>1</v>
      </c>
      <c r="AA19" s="126" t="b">
        <f t="shared" si="7"/>
        <v>1</v>
      </c>
    </row>
    <row r="20" spans="2:27" ht="15" customHeight="1" collapsed="1" thickBot="1">
      <c r="G20" s="126"/>
      <c r="L20" s="126"/>
      <c r="Q20" s="126"/>
      <c r="V20" s="126"/>
      <c r="AA20" s="126"/>
    </row>
    <row r="21" spans="2:27" s="130" customFormat="1" ht="18.600000000000001" customHeight="1" thickTop="1">
      <c r="B21" s="127" t="s">
        <v>113</v>
      </c>
      <c r="C21" s="128">
        <v>15</v>
      </c>
      <c r="D21" s="128">
        <v>18</v>
      </c>
      <c r="E21" s="128">
        <v>21</v>
      </c>
      <c r="F21" s="128">
        <v>28</v>
      </c>
      <c r="G21" s="129">
        <f>F21</f>
        <v>28</v>
      </c>
      <c r="H21" s="128">
        <v>29</v>
      </c>
      <c r="I21" s="128">
        <v>31</v>
      </c>
      <c r="J21" s="128">
        <v>31</v>
      </c>
      <c r="K21" s="128">
        <v>34</v>
      </c>
      <c r="L21" s="129">
        <f>K21</f>
        <v>34</v>
      </c>
      <c r="M21" s="128">
        <v>32</v>
      </c>
      <c r="N21" s="128">
        <v>40</v>
      </c>
      <c r="O21" s="128">
        <v>42</v>
      </c>
      <c r="P21" s="128">
        <v>46</v>
      </c>
      <c r="Q21" s="129">
        <f>P21</f>
        <v>46</v>
      </c>
      <c r="R21" s="128">
        <v>45</v>
      </c>
      <c r="S21" s="128">
        <v>44</v>
      </c>
      <c r="T21" s="281">
        <v>54</v>
      </c>
      <c r="U21" s="281">
        <v>53</v>
      </c>
      <c r="V21" s="129">
        <f>U21</f>
        <v>53</v>
      </c>
      <c r="W21" s="128">
        <v>60</v>
      </c>
      <c r="X21" s="128">
        <v>62</v>
      </c>
      <c r="Y21" s="281">
        <v>65</v>
      </c>
      <c r="Z21" s="281">
        <v>70</v>
      </c>
      <c r="AA21" s="129">
        <f>Z21</f>
        <v>70</v>
      </c>
    </row>
    <row r="22" spans="2:27" s="130" customFormat="1" ht="18.600000000000001" customHeight="1" thickBot="1">
      <c r="B22" s="131" t="s">
        <v>114</v>
      </c>
      <c r="C22" s="132">
        <v>275</v>
      </c>
      <c r="D22" s="132">
        <v>320</v>
      </c>
      <c r="E22" s="132">
        <v>370</v>
      </c>
      <c r="F22" s="132">
        <v>402</v>
      </c>
      <c r="G22" s="133">
        <f>F22</f>
        <v>402</v>
      </c>
      <c r="H22" s="132">
        <v>435</v>
      </c>
      <c r="I22" s="132">
        <v>450</v>
      </c>
      <c r="J22" s="132">
        <v>520</v>
      </c>
      <c r="K22" s="132">
        <v>550</v>
      </c>
      <c r="L22" s="133">
        <f>K22</f>
        <v>550</v>
      </c>
      <c r="M22" s="132">
        <v>585</v>
      </c>
      <c r="N22" s="132">
        <v>610</v>
      </c>
      <c r="O22" s="132">
        <v>640</v>
      </c>
      <c r="P22" s="132">
        <v>665</v>
      </c>
      <c r="Q22" s="133">
        <f>P22</f>
        <v>665</v>
      </c>
      <c r="R22" s="132">
        <v>690</v>
      </c>
      <c r="S22" s="132">
        <v>720</v>
      </c>
      <c r="T22" s="282">
        <v>770</v>
      </c>
      <c r="U22" s="282">
        <v>780</v>
      </c>
      <c r="V22" s="133">
        <f>U22</f>
        <v>780</v>
      </c>
      <c r="W22" s="132">
        <v>770</v>
      </c>
      <c r="X22" s="132">
        <v>795</v>
      </c>
      <c r="Y22" s="282">
        <v>810</v>
      </c>
      <c r="Z22" s="282">
        <v>825</v>
      </c>
      <c r="AA22" s="133">
        <f>Z22</f>
        <v>825</v>
      </c>
    </row>
    <row r="23" spans="2:27" ht="15" customHeight="1" thickTop="1">
      <c r="G23" s="134"/>
      <c r="I23" s="135"/>
      <c r="L23" s="134"/>
      <c r="N23" s="135"/>
      <c r="O23" s="135"/>
      <c r="Q23" s="134"/>
      <c r="S23" s="135"/>
      <c r="T23" s="135"/>
      <c r="V23" s="134"/>
      <c r="X23" s="135"/>
      <c r="Y23" s="135"/>
      <c r="AA23" s="134"/>
    </row>
    <row r="24" spans="2:27" ht="15" customHeight="1">
      <c r="B24" s="45" t="s">
        <v>189</v>
      </c>
    </row>
    <row r="25" spans="2:27" ht="15" customHeight="1">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row>
    <row r="28" spans="2:27" ht="15" customHeight="1">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row>
    <row r="32" spans="2:27" ht="15" customHeight="1">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row>
    <row r="33" spans="3:27" ht="15" customHeight="1">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row>
    <row r="41" spans="3:27" ht="15" customHeight="1">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row>
    <row r="52" spans="3:27"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row>
    <row r="55" spans="3:27" ht="15" customHeight="1">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row>
    <row r="63" spans="3:27" ht="15" customHeight="1">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row>
  </sheetData>
  <hyperlinks>
    <hyperlink ref="G5" location="Cover!A1" display="Back to Main" xr:uid="{3A1AA0BB-2055-4F75-B943-3F4AEF3EAA47}"/>
  </hyperlinks>
  <pageMargins left="0.25" right="0.25" top="0.5" bottom="0.5" header="0.3" footer="0.55000000000000004"/>
  <pageSetup scale="49"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pageSetUpPr fitToPage="1"/>
  </sheetPr>
  <dimension ref="B4:W58"/>
  <sheetViews>
    <sheetView showGridLines="0" zoomScale="80" zoomScaleNormal="80" workbookViewId="0">
      <pane xSplit="2" ySplit="8" topLeftCell="C9" activePane="bottomRight" state="frozen"/>
      <selection pane="topRight"/>
      <selection pane="bottomLeft"/>
      <selection pane="bottomRight" sqref="A1:X24"/>
    </sheetView>
  </sheetViews>
  <sheetFormatPr defaultColWidth="9.140625" defaultRowHeight="15" customHeight="1" outlineLevelRow="1"/>
  <cols>
    <col min="1" max="1" width="5.5703125" style="9" customWidth="1"/>
    <col min="2" max="2" width="51.140625" style="1" customWidth="1"/>
    <col min="3" max="3" width="11.140625" style="1" customWidth="1"/>
    <col min="4" max="12" width="10.5703125" style="1" customWidth="1"/>
    <col min="13" max="13" width="11.42578125" style="1" customWidth="1"/>
    <col min="14" max="17" width="10.5703125" style="1" customWidth="1"/>
    <col min="18" max="18" width="11.42578125" style="1" customWidth="1"/>
    <col min="19" max="22" width="10.5703125" style="1" customWidth="1"/>
    <col min="23" max="23" width="11.42578125" style="1" customWidth="1"/>
    <col min="24" max="27" width="10.5703125" style="9" customWidth="1"/>
    <col min="28" max="16384" width="9.140625" style="9"/>
  </cols>
  <sheetData>
    <row r="4" spans="2:23" ht="15" customHeight="1">
      <c r="B4" s="106"/>
      <c r="C4" s="7" t="s">
        <v>49</v>
      </c>
    </row>
    <row r="5" spans="2:23" ht="15" customHeight="1">
      <c r="B5" s="137" t="s">
        <v>24</v>
      </c>
      <c r="C5" s="12"/>
      <c r="D5" s="12"/>
      <c r="E5" s="12"/>
      <c r="F5" s="12"/>
      <c r="G5" s="12"/>
      <c r="H5" s="12"/>
      <c r="I5" s="12"/>
      <c r="J5" s="12"/>
      <c r="K5" s="12"/>
      <c r="L5" s="12"/>
      <c r="M5" s="12"/>
      <c r="N5" s="12"/>
      <c r="O5" s="12"/>
      <c r="P5" s="12"/>
      <c r="Q5" s="12"/>
      <c r="R5" s="12"/>
      <c r="S5" s="12"/>
      <c r="T5" s="12"/>
      <c r="U5" s="12"/>
      <c r="V5" s="12"/>
      <c r="W5" s="12"/>
    </row>
    <row r="6" spans="2:23" ht="15" customHeight="1">
      <c r="B6" s="1" t="s">
        <v>23</v>
      </c>
    </row>
    <row r="8" spans="2:23" ht="15" customHeight="1">
      <c r="C8" s="51" t="s">
        <v>122</v>
      </c>
      <c r="D8" s="50" t="s">
        <v>78</v>
      </c>
      <c r="E8" s="50" t="s">
        <v>79</v>
      </c>
      <c r="F8" s="50" t="s">
        <v>80</v>
      </c>
      <c r="G8" s="50" t="s">
        <v>81</v>
      </c>
      <c r="H8" s="51" t="s">
        <v>47</v>
      </c>
      <c r="I8" s="50" t="s">
        <v>82</v>
      </c>
      <c r="J8" s="50" t="s">
        <v>83</v>
      </c>
      <c r="K8" s="50" t="s">
        <v>84</v>
      </c>
      <c r="L8" s="50" t="s">
        <v>85</v>
      </c>
      <c r="M8" s="51" t="s">
        <v>86</v>
      </c>
      <c r="N8" s="50" t="s">
        <v>158</v>
      </c>
      <c r="O8" s="50" t="s">
        <v>157</v>
      </c>
      <c r="P8" s="50" t="s">
        <v>196</v>
      </c>
      <c r="Q8" s="50" t="s">
        <v>197</v>
      </c>
      <c r="R8" s="51" t="s">
        <v>198</v>
      </c>
      <c r="S8" s="50" t="s">
        <v>200</v>
      </c>
      <c r="T8" s="50" t="s">
        <v>201</v>
      </c>
      <c r="U8" s="50" t="s">
        <v>206</v>
      </c>
      <c r="V8" s="50" t="s">
        <v>212</v>
      </c>
      <c r="W8" s="51" t="s">
        <v>211</v>
      </c>
    </row>
    <row r="9" spans="2:23" ht="15" customHeight="1">
      <c r="C9" s="52"/>
      <c r="H9" s="52"/>
      <c r="M9" s="52"/>
      <c r="R9" s="52"/>
      <c r="W9" s="52"/>
    </row>
    <row r="10" spans="2:23" s="49" customFormat="1" ht="15" customHeight="1">
      <c r="B10" s="48" t="s">
        <v>154</v>
      </c>
      <c r="C10" s="57">
        <f>'Income Statement'!C31</f>
        <v>-85576</v>
      </c>
      <c r="D10" s="138">
        <f>'Income Statement'!D31</f>
        <v>-26215</v>
      </c>
      <c r="E10" s="138">
        <f>'Income Statement'!E31</f>
        <v>-25191</v>
      </c>
      <c r="F10" s="138">
        <f>'Income Statement'!F31</f>
        <v>3117</v>
      </c>
      <c r="G10" s="138">
        <f>'Income Statement'!G31</f>
        <v>-19010</v>
      </c>
      <c r="H10" s="57">
        <f>SUM(D10:G10)</f>
        <v>-67299</v>
      </c>
      <c r="I10" s="138">
        <f>'Income Statement'!I31</f>
        <v>-27818</v>
      </c>
      <c r="J10" s="138">
        <f>'Income Statement'!J31</f>
        <v>-41180</v>
      </c>
      <c r="K10" s="138">
        <f>'Income Statement'!K31</f>
        <v>-15261</v>
      </c>
      <c r="L10" s="138">
        <f>'Income Statement'!L31</f>
        <v>-49688</v>
      </c>
      <c r="M10" s="139">
        <f>SUM(I10:L10)</f>
        <v>-133947</v>
      </c>
      <c r="N10" s="138">
        <f>'Income Statement'!N31</f>
        <v>-42140</v>
      </c>
      <c r="O10" s="138">
        <f>'Income Statement'!O31</f>
        <v>-40202</v>
      </c>
      <c r="P10" s="138">
        <f>'Income Statement'!P31</f>
        <v>-38040</v>
      </c>
      <c r="Q10" s="138">
        <f>'Income Statement'!Q31</f>
        <v>-4879</v>
      </c>
      <c r="R10" s="139">
        <f>SUM(N10:Q10)</f>
        <v>-125261</v>
      </c>
      <c r="S10" s="138">
        <f>'Income Statement'!S31</f>
        <v>-21728</v>
      </c>
      <c r="T10" s="138">
        <f>'Income Statement'!T31</f>
        <v>-23968</v>
      </c>
      <c r="U10" s="138">
        <f>'Income Statement'!U31</f>
        <v>-11725</v>
      </c>
      <c r="V10" s="138">
        <f>'Income Statement'!V31</f>
        <v>-32847</v>
      </c>
      <c r="W10" s="139">
        <f>SUM(S10:V10)</f>
        <v>-90268</v>
      </c>
    </row>
    <row r="11" spans="2:23" s="49" customFormat="1" ht="15" customHeight="1">
      <c r="B11" s="114" t="s">
        <v>6</v>
      </c>
      <c r="C11" s="140">
        <f>'Income Statement'!C29</f>
        <v>-45184</v>
      </c>
      <c r="D11" s="141">
        <f>'Income Statement'!D29</f>
        <v>-14184</v>
      </c>
      <c r="E11" s="141">
        <f>'Income Statement'!E29</f>
        <v>-12679</v>
      </c>
      <c r="F11" s="141">
        <f>'Income Statement'!F29</f>
        <v>-30374</v>
      </c>
      <c r="G11" s="141">
        <f>'Income Statement'!G29</f>
        <v>-8486</v>
      </c>
      <c r="H11" s="140">
        <f>SUM(D11:G11)</f>
        <v>-65723</v>
      </c>
      <c r="I11" s="141">
        <f>'Income Statement'!I29</f>
        <v>-1428</v>
      </c>
      <c r="J11" s="141">
        <f>'Income Statement'!J29</f>
        <v>2700</v>
      </c>
      <c r="K11" s="141">
        <f>'Income Statement'!K29</f>
        <v>-22546</v>
      </c>
      <c r="L11" s="141">
        <f>'Income Statement'!L29</f>
        <v>-24135</v>
      </c>
      <c r="M11" s="140">
        <f>SUM(I11:L11)</f>
        <v>-45409</v>
      </c>
      <c r="N11" s="141">
        <f>'Income Statement'!N29</f>
        <v>-353</v>
      </c>
      <c r="O11" s="141">
        <f>'Income Statement'!O29</f>
        <v>-5291</v>
      </c>
      <c r="P11" s="141">
        <f>'Income Statement'!P29</f>
        <v>-287</v>
      </c>
      <c r="Q11" s="141">
        <f>'Income Statement'!Q29</f>
        <v>-34345</v>
      </c>
      <c r="R11" s="140">
        <f>SUM(N11:Q11)</f>
        <v>-40276</v>
      </c>
      <c r="S11" s="141">
        <f>'Income Statement'!S29</f>
        <v>-3816</v>
      </c>
      <c r="T11" s="141">
        <f>'Income Statement'!T29</f>
        <v>-3109</v>
      </c>
      <c r="U11" s="141">
        <f>'Income Statement'!U29</f>
        <v>-4142</v>
      </c>
      <c r="V11" s="141">
        <f>'Income Statement'!V29</f>
        <v>-19465</v>
      </c>
      <c r="W11" s="140">
        <f>SUM(S11:V11)</f>
        <v>-30532</v>
      </c>
    </row>
    <row r="12" spans="2:23" s="49" customFormat="1" ht="15" customHeight="1">
      <c r="B12" s="142" t="s">
        <v>7</v>
      </c>
      <c r="C12" s="143">
        <f>'Income Statement'!C25</f>
        <v>652</v>
      </c>
      <c r="D12" s="144">
        <f>'Income Statement'!D25</f>
        <v>-580</v>
      </c>
      <c r="E12" s="144">
        <f>'Income Statement'!E25</f>
        <v>263</v>
      </c>
      <c r="F12" s="144">
        <f>'Income Statement'!F25</f>
        <v>432</v>
      </c>
      <c r="G12" s="144">
        <f>'Income Statement'!G25</f>
        <v>387</v>
      </c>
      <c r="H12" s="143">
        <f>SUM(D12:G12)</f>
        <v>502</v>
      </c>
      <c r="I12" s="144">
        <f>'Income Statement'!I25</f>
        <v>356</v>
      </c>
      <c r="J12" s="144">
        <f>'Income Statement'!J25</f>
        <v>-281</v>
      </c>
      <c r="K12" s="144">
        <f>'Income Statement'!K25</f>
        <v>10404</v>
      </c>
      <c r="L12" s="144">
        <f>'Income Statement'!L25</f>
        <v>8311</v>
      </c>
      <c r="M12" s="143">
        <f>SUM(I12:L12)</f>
        <v>18790</v>
      </c>
      <c r="N12" s="144">
        <f>'Income Statement'!N25</f>
        <v>5882</v>
      </c>
      <c r="O12" s="144">
        <f>'Income Statement'!O25</f>
        <v>4780</v>
      </c>
      <c r="P12" s="144">
        <f>'Income Statement'!P25</f>
        <v>3158</v>
      </c>
      <c r="Q12" s="144">
        <f>'Income Statement'!Q25</f>
        <v>1565</v>
      </c>
      <c r="R12" s="143">
        <f>SUM(N12:Q12)</f>
        <v>15385</v>
      </c>
      <c r="S12" s="144">
        <f>'Income Statement'!S25</f>
        <v>463</v>
      </c>
      <c r="T12" s="144">
        <f>'Income Statement'!T25</f>
        <v>-225</v>
      </c>
      <c r="U12" s="144">
        <f>'Income Statement'!U25</f>
        <v>-86</v>
      </c>
      <c r="V12" s="144">
        <f>'Income Statement'!V25</f>
        <v>-404</v>
      </c>
      <c r="W12" s="143">
        <f>SUM(S12:V12)</f>
        <v>-252</v>
      </c>
    </row>
    <row r="13" spans="2:23" s="49" customFormat="1" ht="15" customHeight="1">
      <c r="B13" s="48" t="s">
        <v>39</v>
      </c>
      <c r="C13" s="140">
        <f t="shared" ref="C13" si="0">C10+C11-C12</f>
        <v>-131412</v>
      </c>
      <c r="D13" s="141">
        <f>D10+D11-D12</f>
        <v>-39819</v>
      </c>
      <c r="E13" s="141">
        <f t="shared" ref="E13:G13" si="1">E10+E11-E12</f>
        <v>-38133</v>
      </c>
      <c r="F13" s="141">
        <f t="shared" si="1"/>
        <v>-27689</v>
      </c>
      <c r="G13" s="141">
        <f t="shared" si="1"/>
        <v>-27883</v>
      </c>
      <c r="H13" s="140">
        <f t="shared" ref="H13:M13" si="2">H10+H11-H12</f>
        <v>-133524</v>
      </c>
      <c r="I13" s="141">
        <f>I10+I11-I12</f>
        <v>-29602</v>
      </c>
      <c r="J13" s="141">
        <f t="shared" si="2"/>
        <v>-38199</v>
      </c>
      <c r="K13" s="141">
        <f t="shared" si="2"/>
        <v>-48211</v>
      </c>
      <c r="L13" s="141">
        <f t="shared" si="2"/>
        <v>-82134</v>
      </c>
      <c r="M13" s="140">
        <f t="shared" si="2"/>
        <v>-198146</v>
      </c>
      <c r="N13" s="141">
        <f>N10+N11-N12</f>
        <v>-48375</v>
      </c>
      <c r="O13" s="141">
        <f t="shared" ref="O13:R13" si="3">O10+O11-O12</f>
        <v>-50273</v>
      </c>
      <c r="P13" s="141">
        <f t="shared" si="3"/>
        <v>-41485</v>
      </c>
      <c r="Q13" s="141">
        <f t="shared" si="3"/>
        <v>-40789</v>
      </c>
      <c r="R13" s="140">
        <f t="shared" si="3"/>
        <v>-180922</v>
      </c>
      <c r="S13" s="141">
        <f>S10+S11-S12</f>
        <v>-26007</v>
      </c>
      <c r="T13" s="141">
        <f t="shared" ref="T13:U13" si="4">T10+T11-T12</f>
        <v>-26852</v>
      </c>
      <c r="U13" s="141">
        <f t="shared" si="4"/>
        <v>-15781</v>
      </c>
      <c r="V13" s="141">
        <f t="shared" ref="V13:W13" si="5">V10+V11-V12</f>
        <v>-51908</v>
      </c>
      <c r="W13" s="140">
        <f t="shared" si="5"/>
        <v>-120548</v>
      </c>
    </row>
    <row r="14" spans="2:23" s="49" customFormat="1" ht="15" customHeight="1">
      <c r="B14" s="142" t="s">
        <v>8</v>
      </c>
      <c r="C14" s="143">
        <v>29847.601859999973</v>
      </c>
      <c r="D14" s="145">
        <v>9193</v>
      </c>
      <c r="E14" s="145">
        <v>9765</v>
      </c>
      <c r="F14" s="145">
        <v>9297</v>
      </c>
      <c r="G14" s="145">
        <v>9392</v>
      </c>
      <c r="H14" s="143">
        <v>37647</v>
      </c>
      <c r="I14" s="145">
        <v>9403</v>
      </c>
      <c r="J14" s="145">
        <v>7018</v>
      </c>
      <c r="K14" s="145">
        <v>8853</v>
      </c>
      <c r="L14" s="145">
        <v>8508</v>
      </c>
      <c r="M14" s="143">
        <f>SUM(I14:L14)</f>
        <v>33782</v>
      </c>
      <c r="N14" s="145">
        <v>8877</v>
      </c>
      <c r="O14" s="145">
        <v>10977</v>
      </c>
      <c r="P14" s="145">
        <v>8104</v>
      </c>
      <c r="Q14" s="145">
        <v>7943</v>
      </c>
      <c r="R14" s="143">
        <f>SUM(N14:Q14)</f>
        <v>35901</v>
      </c>
      <c r="S14" s="145">
        <v>8054</v>
      </c>
      <c r="T14" s="145">
        <v>6901</v>
      </c>
      <c r="U14" s="288">
        <v>6509</v>
      </c>
      <c r="V14" s="288">
        <v>6277</v>
      </c>
      <c r="W14" s="143">
        <f>SUM(S14:V14)</f>
        <v>27741</v>
      </c>
    </row>
    <row r="15" spans="2:23" s="49" customFormat="1" ht="15" customHeight="1">
      <c r="B15" s="48" t="s">
        <v>159</v>
      </c>
      <c r="C15" s="139">
        <f t="shared" ref="C15:O15" si="6">C13+C14</f>
        <v>-101564.39814000003</v>
      </c>
      <c r="D15" s="138">
        <f t="shared" si="6"/>
        <v>-30626</v>
      </c>
      <c r="E15" s="138">
        <f t="shared" si="6"/>
        <v>-28368</v>
      </c>
      <c r="F15" s="138">
        <f t="shared" si="6"/>
        <v>-18392</v>
      </c>
      <c r="G15" s="138">
        <f t="shared" si="6"/>
        <v>-18491</v>
      </c>
      <c r="H15" s="139">
        <f t="shared" si="6"/>
        <v>-95877</v>
      </c>
      <c r="I15" s="138">
        <f t="shared" si="6"/>
        <v>-20199</v>
      </c>
      <c r="J15" s="138">
        <f t="shared" si="6"/>
        <v>-31181</v>
      </c>
      <c r="K15" s="138">
        <f t="shared" si="6"/>
        <v>-39358</v>
      </c>
      <c r="L15" s="138">
        <f t="shared" si="6"/>
        <v>-73626</v>
      </c>
      <c r="M15" s="139">
        <f t="shared" si="6"/>
        <v>-164364</v>
      </c>
      <c r="N15" s="138">
        <f t="shared" si="6"/>
        <v>-39498</v>
      </c>
      <c r="O15" s="138">
        <f t="shared" si="6"/>
        <v>-39296</v>
      </c>
      <c r="P15" s="138">
        <f t="shared" ref="P15:T15" si="7">P13+P14</f>
        <v>-33381</v>
      </c>
      <c r="Q15" s="138">
        <f t="shared" si="7"/>
        <v>-32846</v>
      </c>
      <c r="R15" s="139">
        <f t="shared" si="7"/>
        <v>-145021</v>
      </c>
      <c r="S15" s="138">
        <f t="shared" si="7"/>
        <v>-17953</v>
      </c>
      <c r="T15" s="138">
        <f t="shared" si="7"/>
        <v>-19951</v>
      </c>
      <c r="U15" s="138">
        <f t="shared" ref="U15:W15" si="8">U13+U14</f>
        <v>-9272</v>
      </c>
      <c r="V15" s="138">
        <f t="shared" si="8"/>
        <v>-45631</v>
      </c>
      <c r="W15" s="139">
        <f t="shared" si="8"/>
        <v>-92807</v>
      </c>
    </row>
    <row r="16" spans="2:23" s="49" customFormat="1" ht="15" customHeight="1">
      <c r="B16" s="48"/>
      <c r="C16" s="140"/>
      <c r="D16" s="141"/>
      <c r="E16" s="141"/>
      <c r="F16" s="141"/>
      <c r="G16" s="141"/>
      <c r="H16" s="140"/>
      <c r="I16" s="141"/>
      <c r="J16" s="141"/>
      <c r="K16" s="141"/>
      <c r="L16" s="141"/>
      <c r="M16" s="140"/>
      <c r="N16" s="141"/>
      <c r="O16" s="141"/>
      <c r="P16" s="141"/>
      <c r="Q16" s="141"/>
      <c r="R16" s="140"/>
      <c r="S16" s="141"/>
      <c r="T16" s="141"/>
      <c r="U16" s="141"/>
      <c r="V16" s="141"/>
      <c r="W16" s="140"/>
    </row>
    <row r="17" spans="2:23" s="49" customFormat="1" ht="15" customHeight="1">
      <c r="B17" s="114" t="s">
        <v>9</v>
      </c>
      <c r="C17" s="140"/>
      <c r="D17" s="141"/>
      <c r="E17" s="141"/>
      <c r="F17" s="141"/>
      <c r="G17" s="141"/>
      <c r="H17" s="140"/>
      <c r="I17" s="141"/>
      <c r="J17" s="141"/>
      <c r="K17" s="141"/>
      <c r="L17" s="141"/>
      <c r="M17" s="140"/>
      <c r="N17" s="141"/>
      <c r="O17" s="141"/>
      <c r="P17" s="141"/>
      <c r="Q17" s="141"/>
      <c r="R17" s="140"/>
      <c r="S17" s="141"/>
      <c r="T17" s="141"/>
      <c r="U17" s="141"/>
      <c r="V17" s="141"/>
      <c r="W17" s="140"/>
    </row>
    <row r="18" spans="2:23" s="49" customFormat="1" ht="15" customHeight="1">
      <c r="B18" s="114" t="s">
        <v>10</v>
      </c>
      <c r="C18" s="139">
        <v>39771.930419999975</v>
      </c>
      <c r="D18" s="138">
        <v>12400</v>
      </c>
      <c r="E18" s="138">
        <v>13154</v>
      </c>
      <c r="F18" s="138">
        <v>13290</v>
      </c>
      <c r="G18" s="138">
        <v>14022</v>
      </c>
      <c r="H18" s="139">
        <f>SUM(D18:G18)</f>
        <v>52866</v>
      </c>
      <c r="I18" s="138">
        <v>17798</v>
      </c>
      <c r="J18" s="138">
        <v>17667</v>
      </c>
      <c r="K18" s="138">
        <v>26082</v>
      </c>
      <c r="L18" s="138">
        <v>41174</v>
      </c>
      <c r="M18" s="139">
        <f>SUM(I18:L18)</f>
        <v>102721</v>
      </c>
      <c r="N18" s="138">
        <v>18630</v>
      </c>
      <c r="O18" s="138">
        <f>'GAAP to Non-GAAP Inc Stmt'!S48</f>
        <v>23354</v>
      </c>
      <c r="P18" s="138">
        <f>'GAAP to Non-GAAP Inc Stmt'!T48</f>
        <v>30295</v>
      </c>
      <c r="Q18" s="138">
        <v>17168</v>
      </c>
      <c r="R18" s="139">
        <f>SUM(N18:Q18)</f>
        <v>89447</v>
      </c>
      <c r="S18" s="138">
        <v>16485</v>
      </c>
      <c r="T18" s="138">
        <f>'GAAP to Non-GAAP Inc Stmt'!X48</f>
        <v>24204</v>
      </c>
      <c r="U18" s="138">
        <f>'GAAP to Non-GAAP Inc Stmt'!Y48</f>
        <v>23894</v>
      </c>
      <c r="V18" s="138">
        <f>'GAAP to Non-GAAP Inc Stmt'!Z48</f>
        <v>47124</v>
      </c>
      <c r="W18" s="139">
        <f>SUM(S18:V18)</f>
        <v>111707</v>
      </c>
    </row>
    <row r="19" spans="2:23" ht="15" customHeight="1">
      <c r="B19" s="146" t="s">
        <v>11</v>
      </c>
      <c r="C19" s="140">
        <v>4752.8016599999992</v>
      </c>
      <c r="D19" s="147">
        <v>-3</v>
      </c>
      <c r="E19" s="147">
        <v>2833</v>
      </c>
      <c r="F19" s="147">
        <v>-788</v>
      </c>
      <c r="G19" s="147">
        <v>681</v>
      </c>
      <c r="H19" s="140">
        <f>SUM(D19:G19)</f>
        <v>2723</v>
      </c>
      <c r="I19" s="141">
        <v>1</v>
      </c>
      <c r="J19" s="141">
        <v>489</v>
      </c>
      <c r="K19" s="141">
        <v>5043</v>
      </c>
      <c r="L19" s="141">
        <v>14400</v>
      </c>
      <c r="M19" s="140">
        <f>SUM(I19:L19)</f>
        <v>19933</v>
      </c>
      <c r="N19" s="141">
        <v>2276</v>
      </c>
      <c r="O19" s="141">
        <f>'GAAP to Non-GAAP Inc Stmt'!S60</f>
        <v>45</v>
      </c>
      <c r="P19" s="141">
        <f>'GAAP to Non-GAAP Inc Stmt'!T60</f>
        <v>233</v>
      </c>
      <c r="Q19" s="141">
        <v>2447</v>
      </c>
      <c r="R19" s="140">
        <f>SUM(N19:Q19)</f>
        <v>5001</v>
      </c>
      <c r="S19" s="141">
        <v>1995</v>
      </c>
      <c r="T19" s="141">
        <f>'GAAP to Non-GAAP Inc Stmt'!X60</f>
        <v>-619</v>
      </c>
      <c r="U19" s="141">
        <f>'GAAP to Non-GAAP Inc Stmt'!Y60</f>
        <v>-6</v>
      </c>
      <c r="V19" s="141">
        <f>'GAAP to Non-GAAP Inc Stmt'!Z60</f>
        <v>1345</v>
      </c>
      <c r="W19" s="140">
        <f>SUM(S19:V19)</f>
        <v>2715</v>
      </c>
    </row>
    <row r="20" spans="2:23" ht="15" customHeight="1">
      <c r="B20" s="148" t="s">
        <v>12</v>
      </c>
      <c r="C20" s="143">
        <v>8639.0499999999975</v>
      </c>
      <c r="D20" s="284">
        <v>7119</v>
      </c>
      <c r="E20" s="284">
        <v>5453</v>
      </c>
      <c r="F20" s="284">
        <v>5214.1000000000004</v>
      </c>
      <c r="G20" s="285">
        <v>0</v>
      </c>
      <c r="H20" s="143">
        <f>SUM(D20:G20)</f>
        <v>17786.099999999999</v>
      </c>
      <c r="I20" s="144">
        <v>0</v>
      </c>
      <c r="J20" s="144">
        <v>2122</v>
      </c>
      <c r="K20" s="144">
        <v>700</v>
      </c>
      <c r="L20" s="145">
        <v>-705</v>
      </c>
      <c r="M20" s="143">
        <f>SUM(I20:L20)</f>
        <v>2117</v>
      </c>
      <c r="N20" s="144">
        <v>0</v>
      </c>
      <c r="O20" s="144">
        <v>0</v>
      </c>
      <c r="P20" s="144">
        <v>0</v>
      </c>
      <c r="Q20" s="145">
        <v>0</v>
      </c>
      <c r="R20" s="143">
        <f>SUM(N20:Q20)</f>
        <v>0</v>
      </c>
      <c r="S20" s="144">
        <v>3605</v>
      </c>
      <c r="T20" s="144">
        <v>258</v>
      </c>
      <c r="U20" s="144">
        <v>0</v>
      </c>
      <c r="V20" s="144">
        <v>0</v>
      </c>
      <c r="W20" s="143">
        <f>SUM(S20:V20)</f>
        <v>3863</v>
      </c>
    </row>
    <row r="21" spans="2:23" ht="15" hidden="1" customHeight="1" outlineLevel="1">
      <c r="B21" s="150" t="s">
        <v>13</v>
      </c>
      <c r="C21" s="143">
        <v>0</v>
      </c>
      <c r="D21" s="144">
        <v>0</v>
      </c>
      <c r="E21" s="144">
        <v>0</v>
      </c>
      <c r="F21" s="144">
        <v>0</v>
      </c>
      <c r="G21" s="144">
        <v>0</v>
      </c>
      <c r="H21" s="143">
        <f>SUM(D21:G21)</f>
        <v>0</v>
      </c>
      <c r="I21" s="144">
        <v>0</v>
      </c>
      <c r="J21" s="144">
        <v>0</v>
      </c>
      <c r="K21" s="144">
        <v>0</v>
      </c>
      <c r="L21" s="144">
        <v>0</v>
      </c>
      <c r="M21" s="143">
        <f>SUM(I21:L21)</f>
        <v>0</v>
      </c>
      <c r="N21" s="144">
        <v>0</v>
      </c>
      <c r="O21" s="144">
        <v>0</v>
      </c>
      <c r="P21" s="144">
        <v>0</v>
      </c>
      <c r="Q21" s="144">
        <v>0</v>
      </c>
      <c r="R21" s="143">
        <f>SUM(N21:Q21)</f>
        <v>0</v>
      </c>
      <c r="S21" s="144">
        <v>0</v>
      </c>
      <c r="T21" s="144">
        <v>0</v>
      </c>
      <c r="U21" s="144">
        <v>0</v>
      </c>
      <c r="V21" s="144">
        <v>0</v>
      </c>
      <c r="W21" s="143">
        <f>SUM(S21:V21)</f>
        <v>0</v>
      </c>
    </row>
    <row r="22" spans="2:23" s="49" customFormat="1" ht="15" customHeight="1" collapsed="1">
      <c r="B22" s="48" t="s">
        <v>14</v>
      </c>
      <c r="C22" s="139">
        <f>C15+C18+C19+C20+C21+1</f>
        <v>-48399.616060000066</v>
      </c>
      <c r="D22" s="138">
        <f>D15+D18+D19+D20+D21</f>
        <v>-11110</v>
      </c>
      <c r="E22" s="138">
        <f>E15+E18+E19+E20+E21</f>
        <v>-6928</v>
      </c>
      <c r="F22" s="138">
        <f>F15+F18+F19+F20+F21</f>
        <v>-675.89999999999964</v>
      </c>
      <c r="G22" s="138">
        <f>G15+G18+G19+G20+G21+1</f>
        <v>-3787</v>
      </c>
      <c r="H22" s="139">
        <f>H15+H18+H19+H20+H21</f>
        <v>-22501.9</v>
      </c>
      <c r="I22" s="138">
        <f>I15+I18+I19+I20+I21</f>
        <v>-2400</v>
      </c>
      <c r="J22" s="138">
        <f>J15+J18+J19+J20+J21</f>
        <v>-10903</v>
      </c>
      <c r="K22" s="138">
        <f>K15+K18+K19+K20+K21</f>
        <v>-7533</v>
      </c>
      <c r="L22" s="138">
        <f>L15+L18+L19+L20+L21+1</f>
        <v>-18756</v>
      </c>
      <c r="M22" s="139">
        <f t="shared" ref="M22:O22" si="9">M15+M18+M19+M20+M21</f>
        <v>-39593</v>
      </c>
      <c r="N22" s="138">
        <f t="shared" si="9"/>
        <v>-18592</v>
      </c>
      <c r="O22" s="138">
        <f t="shared" si="9"/>
        <v>-15897</v>
      </c>
      <c r="P22" s="138">
        <f t="shared" ref="P22" si="10">P15+P18+P19+P20+P21</f>
        <v>-2853</v>
      </c>
      <c r="Q22" s="138">
        <f>Q15+Q18+Q19+Q20+Q21</f>
        <v>-13231</v>
      </c>
      <c r="R22" s="139">
        <f t="shared" ref="R22:T22" si="11">R15+R18+R19+R20+R21</f>
        <v>-50573</v>
      </c>
      <c r="S22" s="138">
        <f t="shared" si="11"/>
        <v>4132</v>
      </c>
      <c r="T22" s="138">
        <f t="shared" si="11"/>
        <v>3892</v>
      </c>
      <c r="U22" s="138">
        <f t="shared" ref="U22:W22" si="12">U15+U18+U19+U20+U21</f>
        <v>14616</v>
      </c>
      <c r="V22" s="138">
        <f t="shared" si="12"/>
        <v>2838</v>
      </c>
      <c r="W22" s="139">
        <f t="shared" si="12"/>
        <v>25478</v>
      </c>
    </row>
    <row r="23" spans="2:23" ht="15" customHeight="1">
      <c r="C23" s="151"/>
      <c r="H23" s="151"/>
      <c r="M23" s="151"/>
      <c r="R23" s="151"/>
      <c r="W23" s="151"/>
    </row>
    <row r="24" spans="2:23" ht="15" customHeight="1">
      <c r="C24" s="152"/>
      <c r="I24" s="153"/>
      <c r="J24" s="153"/>
      <c r="K24" s="153"/>
      <c r="L24" s="153"/>
      <c r="M24" s="153"/>
      <c r="N24" s="153"/>
      <c r="O24" s="153"/>
      <c r="P24" s="153"/>
      <c r="Q24" s="153"/>
      <c r="R24" s="153"/>
      <c r="S24" s="153"/>
      <c r="T24" s="153"/>
      <c r="U24" s="153"/>
      <c r="V24" s="153"/>
      <c r="W24" s="153"/>
    </row>
    <row r="25" spans="2:23" ht="15" customHeight="1">
      <c r="C25" s="152"/>
      <c r="L25" s="153"/>
      <c r="Q25" s="153"/>
    </row>
    <row r="26" spans="2:23" ht="15" customHeight="1">
      <c r="C26" s="152"/>
    </row>
    <row r="27" spans="2:23" ht="15" customHeight="1">
      <c r="C27" s="153"/>
      <c r="D27" s="153"/>
      <c r="E27" s="153"/>
      <c r="F27" s="153"/>
      <c r="G27" s="153"/>
      <c r="H27" s="153"/>
      <c r="I27" s="153"/>
      <c r="J27" s="153"/>
      <c r="K27" s="153"/>
      <c r="L27" s="153"/>
      <c r="M27" s="153"/>
      <c r="N27" s="153"/>
      <c r="O27" s="153"/>
      <c r="P27" s="153"/>
      <c r="Q27" s="153"/>
      <c r="R27" s="153"/>
      <c r="S27" s="153"/>
      <c r="T27" s="153"/>
      <c r="U27" s="153"/>
      <c r="V27" s="153"/>
      <c r="W27" s="153"/>
    </row>
    <row r="28" spans="2:23" ht="15" customHeight="1">
      <c r="C28" s="152"/>
    </row>
    <row r="29" spans="2:23" ht="15" customHeight="1">
      <c r="C29" s="154"/>
      <c r="D29" s="154"/>
      <c r="E29" s="154"/>
      <c r="F29" s="154"/>
      <c r="G29" s="154"/>
      <c r="H29" s="154"/>
      <c r="I29" s="154"/>
      <c r="J29" s="154"/>
      <c r="K29" s="154"/>
      <c r="L29" s="154"/>
      <c r="M29" s="154"/>
      <c r="N29" s="154"/>
      <c r="O29" s="154"/>
      <c r="P29" s="154"/>
      <c r="Q29" s="154"/>
      <c r="R29" s="154"/>
      <c r="S29" s="154"/>
      <c r="T29" s="154"/>
      <c r="U29" s="154"/>
      <c r="V29" s="154"/>
      <c r="W29" s="154"/>
    </row>
    <row r="30" spans="2:23" ht="15" customHeight="1">
      <c r="C30" s="152"/>
    </row>
    <row r="31" spans="2:23" ht="15" customHeight="1">
      <c r="C31" s="152"/>
    </row>
    <row r="32" spans="2:23" ht="15" customHeight="1">
      <c r="C32" s="152"/>
    </row>
    <row r="33" spans="3:23" ht="15" customHeight="1">
      <c r="C33" s="152"/>
    </row>
    <row r="34" spans="3:23" ht="15" customHeight="1">
      <c r="C34" s="152"/>
    </row>
    <row r="35" spans="3:23" ht="15" customHeight="1">
      <c r="C35" s="152"/>
    </row>
    <row r="36" spans="3:23" ht="15" customHeight="1">
      <c r="C36" s="153"/>
      <c r="D36" s="153"/>
      <c r="E36" s="153"/>
      <c r="F36" s="153"/>
      <c r="G36" s="153"/>
      <c r="H36" s="153"/>
      <c r="I36" s="153"/>
      <c r="J36" s="153"/>
      <c r="K36" s="153"/>
      <c r="L36" s="153"/>
      <c r="M36" s="153"/>
      <c r="N36" s="153"/>
      <c r="O36" s="153"/>
      <c r="P36" s="153"/>
      <c r="Q36" s="153"/>
      <c r="R36" s="153"/>
      <c r="S36" s="153"/>
      <c r="T36" s="153"/>
      <c r="U36" s="153"/>
      <c r="V36" s="153"/>
      <c r="W36" s="153"/>
    </row>
    <row r="37" spans="3:23" ht="15" customHeight="1">
      <c r="C37" s="152"/>
    </row>
    <row r="38" spans="3:23" ht="15" customHeight="1">
      <c r="C38" s="152"/>
    </row>
    <row r="39" spans="3:23" ht="15" customHeight="1">
      <c r="C39" s="152"/>
    </row>
    <row r="40" spans="3:23" ht="15" customHeight="1">
      <c r="C40" s="152"/>
    </row>
    <row r="47" spans="3:23" ht="15" customHeight="1">
      <c r="C47" s="103"/>
      <c r="D47" s="103"/>
      <c r="E47" s="103"/>
      <c r="F47" s="103"/>
      <c r="G47" s="103"/>
      <c r="H47" s="103"/>
      <c r="I47" s="103"/>
      <c r="J47" s="103"/>
      <c r="K47" s="103"/>
      <c r="L47" s="103"/>
      <c r="M47" s="103"/>
      <c r="N47" s="103"/>
      <c r="O47" s="103"/>
      <c r="P47" s="103"/>
      <c r="Q47" s="103"/>
      <c r="R47" s="103"/>
      <c r="S47" s="103"/>
      <c r="T47" s="103"/>
      <c r="U47" s="103"/>
      <c r="V47" s="103"/>
      <c r="W47" s="103"/>
    </row>
    <row r="50" spans="3:23" ht="15" customHeight="1">
      <c r="C50" s="103"/>
      <c r="D50" s="103"/>
      <c r="E50" s="103"/>
      <c r="F50" s="103"/>
      <c r="G50" s="103"/>
      <c r="H50" s="103"/>
      <c r="I50" s="103"/>
      <c r="J50" s="103"/>
      <c r="K50" s="103"/>
      <c r="L50" s="103"/>
      <c r="M50" s="103"/>
      <c r="N50" s="103"/>
      <c r="O50" s="103"/>
      <c r="P50" s="103"/>
      <c r="Q50" s="103"/>
      <c r="R50" s="103"/>
      <c r="S50" s="103"/>
      <c r="T50" s="103"/>
      <c r="U50" s="103"/>
      <c r="V50" s="103"/>
      <c r="W50" s="103"/>
    </row>
    <row r="58" spans="3:23" ht="15" customHeight="1">
      <c r="C58" s="103"/>
      <c r="D58" s="103"/>
      <c r="E58" s="103"/>
      <c r="F58" s="103"/>
      <c r="G58" s="103"/>
      <c r="H58" s="103"/>
      <c r="I58" s="103"/>
      <c r="J58" s="103"/>
      <c r="K58" s="103"/>
      <c r="L58" s="103"/>
      <c r="M58" s="103"/>
      <c r="N58" s="103"/>
      <c r="O58" s="103"/>
      <c r="P58" s="103"/>
      <c r="Q58" s="103"/>
      <c r="R58" s="103"/>
      <c r="S58" s="103"/>
      <c r="T58" s="103"/>
      <c r="U58" s="103"/>
      <c r="V58" s="103"/>
      <c r="W58" s="103"/>
    </row>
  </sheetData>
  <hyperlinks>
    <hyperlink ref="C4" location="Cover!A1" display="Back to Main" xr:uid="{C2267AB2-16C9-474B-A833-9AEC62BBBBF2}"/>
  </hyperlinks>
  <pageMargins left="0.25" right="0.25" top="0.5" bottom="0.5" header="0.3" footer="0.55000000000000004"/>
  <pageSetup scale="46" orientation="landscape" r:id="rId1"/>
  <headerFooter>
    <oddFooter>&amp;L&amp;8&amp;K01+046LiveRamp Holdings, Inc.&amp;C&amp;8&amp;K01+047Page &amp;P of &amp;N</oddFooter>
  </headerFooter>
  <ignoredErrors>
    <ignoredError sqref="M10:M12 H10 I22:K22 I21:L21"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W61"/>
  <sheetViews>
    <sheetView showGridLines="0" tabSelected="1" zoomScale="80" zoomScaleNormal="80" zoomScaleSheetLayoutView="90" workbookViewId="0">
      <pane xSplit="2" ySplit="8" topLeftCell="C9" activePane="bottomRight" state="frozen"/>
      <selection pane="topRight"/>
      <selection pane="bottomLeft"/>
      <selection pane="bottomRight" activeCell="B25" sqref="B25"/>
    </sheetView>
  </sheetViews>
  <sheetFormatPr defaultColWidth="9.140625" defaultRowHeight="15" customHeight="1"/>
  <cols>
    <col min="1" max="1" width="5.5703125" style="9" customWidth="1"/>
    <col min="2" max="2" width="54.5703125" style="1" customWidth="1"/>
    <col min="3" max="23" width="10.5703125" style="107" customWidth="1"/>
    <col min="24" max="26" width="10.5703125" style="9" customWidth="1"/>
    <col min="27" max="16384" width="9.140625" style="9"/>
  </cols>
  <sheetData>
    <row r="1" spans="2:23" ht="15" customHeight="1">
      <c r="B1" s="106"/>
    </row>
    <row r="2" spans="2:23" ht="15" customHeight="1">
      <c r="B2" s="106"/>
    </row>
    <row r="3" spans="2:23" ht="15" customHeight="1">
      <c r="B3" s="106"/>
    </row>
    <row r="4" spans="2:23" ht="15" customHeight="1">
      <c r="B4" s="106"/>
      <c r="C4" s="7" t="s">
        <v>49</v>
      </c>
    </row>
    <row r="5" spans="2:23" s="109" customFormat="1" ht="15" customHeight="1">
      <c r="B5" s="137" t="s">
        <v>25</v>
      </c>
      <c r="C5" s="155"/>
      <c r="D5" s="155"/>
      <c r="E5" s="155"/>
      <c r="F5" s="155"/>
      <c r="G5" s="155"/>
      <c r="H5" s="155"/>
      <c r="I5" s="155"/>
      <c r="J5" s="155"/>
      <c r="K5" s="155"/>
      <c r="L5" s="155"/>
      <c r="M5" s="155"/>
      <c r="N5" s="155"/>
      <c r="O5" s="155"/>
      <c r="P5" s="155"/>
      <c r="Q5" s="155"/>
      <c r="R5" s="155"/>
      <c r="S5" s="155"/>
      <c r="T5" s="155"/>
      <c r="U5" s="155"/>
      <c r="V5" s="155"/>
      <c r="W5" s="155"/>
    </row>
    <row r="6" spans="2:23" ht="15" customHeight="1">
      <c r="B6" s="1" t="s">
        <v>155</v>
      </c>
    </row>
    <row r="8" spans="2:23" ht="15" customHeight="1">
      <c r="C8" s="51" t="s">
        <v>122</v>
      </c>
      <c r="D8" s="50" t="s">
        <v>78</v>
      </c>
      <c r="E8" s="50" t="s">
        <v>79</v>
      </c>
      <c r="F8" s="50" t="s">
        <v>80</v>
      </c>
      <c r="G8" s="50" t="s">
        <v>81</v>
      </c>
      <c r="H8" s="51" t="s">
        <v>47</v>
      </c>
      <c r="I8" s="50" t="s">
        <v>82</v>
      </c>
      <c r="J8" s="50" t="s">
        <v>83</v>
      </c>
      <c r="K8" s="50" t="s">
        <v>84</v>
      </c>
      <c r="L8" s="50" t="s">
        <v>85</v>
      </c>
      <c r="M8" s="51" t="s">
        <v>86</v>
      </c>
      <c r="N8" s="50" t="s">
        <v>158</v>
      </c>
      <c r="O8" s="50" t="s">
        <v>157</v>
      </c>
      <c r="P8" s="50" t="s">
        <v>196</v>
      </c>
      <c r="Q8" s="50" t="s">
        <v>197</v>
      </c>
      <c r="R8" s="51" t="s">
        <v>198</v>
      </c>
      <c r="S8" s="50" t="s">
        <v>200</v>
      </c>
      <c r="T8" s="50" t="s">
        <v>201</v>
      </c>
      <c r="U8" s="50" t="s">
        <v>206</v>
      </c>
      <c r="V8" s="50" t="s">
        <v>212</v>
      </c>
      <c r="W8" s="51" t="s">
        <v>211</v>
      </c>
    </row>
    <row r="9" spans="2:23" ht="15" customHeight="1">
      <c r="C9" s="126"/>
      <c r="H9" s="126"/>
      <c r="M9" s="126"/>
      <c r="R9" s="126"/>
      <c r="W9" s="126"/>
    </row>
    <row r="10" spans="2:23" s="160" customFormat="1" ht="15" customHeight="1">
      <c r="B10" s="156" t="s">
        <v>119</v>
      </c>
      <c r="C10" s="157">
        <v>-130760</v>
      </c>
      <c r="D10" s="158">
        <v>-40399</v>
      </c>
      <c r="E10" s="158">
        <v>-37870</v>
      </c>
      <c r="F10" s="158">
        <v>-27257</v>
      </c>
      <c r="G10" s="158">
        <v>-27496</v>
      </c>
      <c r="H10" s="157">
        <v>-133022</v>
      </c>
      <c r="I10" s="158">
        <v>-29246</v>
      </c>
      <c r="J10" s="158">
        <v>-38480</v>
      </c>
      <c r="K10" s="158">
        <v>-37807</v>
      </c>
      <c r="L10" s="158">
        <f>'GAAP to Non-GAAP Inc Stmt'!P55</f>
        <v>-73823</v>
      </c>
      <c r="M10" s="157">
        <f>SUM(I10:L10)</f>
        <v>-179356</v>
      </c>
      <c r="N10" s="159">
        <f>'Income Statement'!N27</f>
        <v>-42493</v>
      </c>
      <c r="O10" s="159">
        <f>'Income Statement'!O27</f>
        <v>-45493</v>
      </c>
      <c r="P10" s="159">
        <f>'Income Statement'!P27</f>
        <v>-38327</v>
      </c>
      <c r="Q10" s="158">
        <f>'GAAP to Non-GAAP Inc Stmt'!U55</f>
        <v>-39224</v>
      </c>
      <c r="R10" s="157">
        <f>SUM(N10:Q10)</f>
        <v>-165537</v>
      </c>
      <c r="S10" s="159">
        <f>'Income Statement'!S27</f>
        <v>-25544</v>
      </c>
      <c r="T10" s="159">
        <f>'Income Statement'!T27</f>
        <v>-27077</v>
      </c>
      <c r="U10" s="159">
        <f>'Income Statement'!U27</f>
        <v>-15867</v>
      </c>
      <c r="V10" s="159">
        <f>'Income Statement'!V27</f>
        <v>-52312</v>
      </c>
      <c r="W10" s="157">
        <f>SUM(S10:V10)</f>
        <v>-120800</v>
      </c>
    </row>
    <row r="11" spans="2:23" ht="15" customHeight="1">
      <c r="B11" s="161" t="s">
        <v>116</v>
      </c>
      <c r="C11" s="162">
        <v>-45184</v>
      </c>
      <c r="D11" s="163">
        <v>-14184</v>
      </c>
      <c r="E11" s="163">
        <v>-12679</v>
      </c>
      <c r="F11" s="163">
        <v>-30374</v>
      </c>
      <c r="G11" s="163">
        <v>-8486</v>
      </c>
      <c r="H11" s="162">
        <f>SUM(D11:G11)</f>
        <v>-65723</v>
      </c>
      <c r="I11" s="163">
        <v>-1428</v>
      </c>
      <c r="J11" s="163">
        <v>2700</v>
      </c>
      <c r="K11" s="163">
        <v>-22546</v>
      </c>
      <c r="L11" s="163">
        <f>EBITDA!L11</f>
        <v>-24135</v>
      </c>
      <c r="M11" s="162">
        <f>SUM(I11:L11)</f>
        <v>-45409</v>
      </c>
      <c r="N11" s="164">
        <f>'Income Statement'!N29</f>
        <v>-353</v>
      </c>
      <c r="O11" s="164">
        <f>'Income Statement'!O29</f>
        <v>-5291</v>
      </c>
      <c r="P11" s="164">
        <f>'Income Statement'!P29</f>
        <v>-287</v>
      </c>
      <c r="Q11" s="163">
        <f>EBITDA!Q11</f>
        <v>-34345</v>
      </c>
      <c r="R11" s="162">
        <f>SUM(N11:Q11)</f>
        <v>-40276</v>
      </c>
      <c r="S11" s="164">
        <f>'Income Statement'!S29</f>
        <v>-3816</v>
      </c>
      <c r="T11" s="164">
        <f>'Income Statement'!T29</f>
        <v>-3109</v>
      </c>
      <c r="U11" s="164">
        <f>'Income Statement'!U29</f>
        <v>-4142</v>
      </c>
      <c r="V11" s="164">
        <f>'Income Statement'!V29</f>
        <v>-19465</v>
      </c>
      <c r="W11" s="162">
        <f>SUM(S11:V11)</f>
        <v>-30532</v>
      </c>
    </row>
    <row r="12" spans="2:23" s="83" customFormat="1" ht="15" customHeight="1">
      <c r="B12" s="165" t="s">
        <v>120</v>
      </c>
      <c r="C12" s="166">
        <f>C10-C11</f>
        <v>-85576</v>
      </c>
      <c r="D12" s="167">
        <f t="shared" ref="D12:M12" si="0">D10-D11</f>
        <v>-26215</v>
      </c>
      <c r="E12" s="167">
        <f t="shared" si="0"/>
        <v>-25191</v>
      </c>
      <c r="F12" s="167">
        <f t="shared" si="0"/>
        <v>3117</v>
      </c>
      <c r="G12" s="167">
        <f t="shared" si="0"/>
        <v>-19010</v>
      </c>
      <c r="H12" s="166">
        <f t="shared" si="0"/>
        <v>-67299</v>
      </c>
      <c r="I12" s="167">
        <f t="shared" si="0"/>
        <v>-27818</v>
      </c>
      <c r="J12" s="167">
        <f t="shared" si="0"/>
        <v>-41180</v>
      </c>
      <c r="K12" s="167">
        <f t="shared" si="0"/>
        <v>-15261</v>
      </c>
      <c r="L12" s="167">
        <f t="shared" si="0"/>
        <v>-49688</v>
      </c>
      <c r="M12" s="166">
        <f t="shared" si="0"/>
        <v>-133947</v>
      </c>
      <c r="N12" s="168">
        <f t="shared" ref="N12:O12" si="1">N10-N11</f>
        <v>-42140</v>
      </c>
      <c r="O12" s="168">
        <f t="shared" si="1"/>
        <v>-40202</v>
      </c>
      <c r="P12" s="168">
        <f t="shared" ref="P12:T12" si="2">P10-P11</f>
        <v>-38040</v>
      </c>
      <c r="Q12" s="167">
        <f t="shared" si="2"/>
        <v>-4879</v>
      </c>
      <c r="R12" s="166">
        <f t="shared" si="2"/>
        <v>-125261</v>
      </c>
      <c r="S12" s="168">
        <f t="shared" si="2"/>
        <v>-21728</v>
      </c>
      <c r="T12" s="168">
        <f t="shared" si="2"/>
        <v>-23968</v>
      </c>
      <c r="U12" s="168">
        <f t="shared" ref="U12:W12" si="3">U10-U11</f>
        <v>-11725</v>
      </c>
      <c r="V12" s="168">
        <f t="shared" si="3"/>
        <v>-32847</v>
      </c>
      <c r="W12" s="166">
        <f t="shared" si="3"/>
        <v>-90268</v>
      </c>
    </row>
    <row r="13" spans="2:23" s="49" customFormat="1" ht="15" customHeight="1">
      <c r="B13" s="170"/>
      <c r="C13" s="126"/>
      <c r="D13" s="171"/>
      <c r="E13" s="171"/>
      <c r="F13" s="171"/>
      <c r="G13" s="171"/>
      <c r="H13" s="126"/>
      <c r="I13" s="171"/>
      <c r="J13" s="171"/>
      <c r="K13" s="171"/>
      <c r="L13" s="171"/>
      <c r="M13" s="126"/>
      <c r="N13" s="171"/>
      <c r="O13" s="171"/>
      <c r="P13" s="171"/>
      <c r="Q13" s="171"/>
      <c r="R13" s="126"/>
      <c r="S13" s="171"/>
      <c r="T13" s="171"/>
      <c r="U13" s="171"/>
      <c r="V13" s="171"/>
      <c r="W13" s="126"/>
    </row>
    <row r="14" spans="2:23" s="83" customFormat="1" ht="15" customHeight="1">
      <c r="B14" s="172" t="s">
        <v>16</v>
      </c>
      <c r="C14" s="173"/>
      <c r="D14" s="174"/>
      <c r="E14" s="174"/>
      <c r="F14" s="174"/>
      <c r="G14" s="174"/>
      <c r="H14" s="173"/>
      <c r="I14" s="174"/>
      <c r="J14" s="174"/>
      <c r="K14" s="174"/>
      <c r="L14" s="174"/>
      <c r="M14" s="173"/>
      <c r="N14" s="174"/>
      <c r="O14" s="174"/>
      <c r="P14" s="174"/>
      <c r="Q14" s="174"/>
      <c r="R14" s="173"/>
      <c r="S14" s="174"/>
      <c r="T14" s="174"/>
      <c r="U14" s="174"/>
      <c r="V14" s="174"/>
      <c r="W14" s="173"/>
    </row>
    <row r="15" spans="2:23" s="49" customFormat="1" ht="15" customHeight="1">
      <c r="B15" s="170" t="s">
        <v>17</v>
      </c>
      <c r="C15" s="175">
        <v>-1.1579773027612832</v>
      </c>
      <c r="D15" s="176">
        <v>-0.33</v>
      </c>
      <c r="E15" s="176">
        <v>-0.32</v>
      </c>
      <c r="F15" s="176">
        <v>0.04</v>
      </c>
      <c r="G15" s="176">
        <v>-0.24</v>
      </c>
      <c r="H15" s="175">
        <v>-0.85</v>
      </c>
      <c r="I15" s="176">
        <v>-0.36</v>
      </c>
      <c r="J15" s="176">
        <v>-0.53</v>
      </c>
      <c r="K15" s="176">
        <v>-0.2</v>
      </c>
      <c r="L15" s="176">
        <v>-0.73</v>
      </c>
      <c r="M15" s="175">
        <v>-1.79</v>
      </c>
      <c r="N15" s="176">
        <f>N16</f>
        <v>-0.61</v>
      </c>
      <c r="O15" s="176">
        <f>O16</f>
        <v>-0.59396607765498488</v>
      </c>
      <c r="P15" s="176">
        <f>P16</f>
        <v>-0.56378106798274863</v>
      </c>
      <c r="Q15" s="176">
        <f>Q16</f>
        <v>-6.1648028427669199E-2</v>
      </c>
      <c r="R15" s="175">
        <f>'Income Statement'!R39</f>
        <v>-1.85</v>
      </c>
      <c r="S15" s="176">
        <f>S16</f>
        <v>-0.33137105383559556</v>
      </c>
      <c r="T15" s="176">
        <f>T16</f>
        <v>-0.36309650053022269</v>
      </c>
      <c r="U15" s="176">
        <f>U16</f>
        <v>-0.17625482915683297</v>
      </c>
      <c r="V15" s="176">
        <f>V16</f>
        <v>-0.48944286331599884</v>
      </c>
      <c r="W15" s="175">
        <f>W12/W35</f>
        <v>-1.3614261583011582</v>
      </c>
    </row>
    <row r="16" spans="2:23" s="49" customFormat="1" ht="15" customHeight="1">
      <c r="B16" s="170" t="s">
        <v>18</v>
      </c>
      <c r="C16" s="175">
        <v>-1.1579773027612832</v>
      </c>
      <c r="D16" s="176">
        <f t="shared" ref="D16:M16" si="4">D15</f>
        <v>-0.33</v>
      </c>
      <c r="E16" s="176">
        <f t="shared" si="4"/>
        <v>-0.32</v>
      </c>
      <c r="F16" s="176">
        <f t="shared" si="4"/>
        <v>0.04</v>
      </c>
      <c r="G16" s="176">
        <f t="shared" si="4"/>
        <v>-0.24</v>
      </c>
      <c r="H16" s="175">
        <f t="shared" si="4"/>
        <v>-0.85</v>
      </c>
      <c r="I16" s="176">
        <f t="shared" si="4"/>
        <v>-0.36</v>
      </c>
      <c r="J16" s="176">
        <f t="shared" si="4"/>
        <v>-0.53</v>
      </c>
      <c r="K16" s="176">
        <f t="shared" si="4"/>
        <v>-0.2</v>
      </c>
      <c r="L16" s="176">
        <f t="shared" si="4"/>
        <v>-0.73</v>
      </c>
      <c r="M16" s="175">
        <f t="shared" si="4"/>
        <v>-1.79</v>
      </c>
      <c r="N16" s="176">
        <f>'Income Statement'!N37</f>
        <v>-0.61</v>
      </c>
      <c r="O16" s="176">
        <f>'Income Statement'!O37</f>
        <v>-0.59396607765498488</v>
      </c>
      <c r="P16" s="176">
        <f>'Income Statement'!P37</f>
        <v>-0.56378106798274863</v>
      </c>
      <c r="Q16" s="176">
        <f>'Income Statement'!Q37</f>
        <v>-6.1648028427669199E-2</v>
      </c>
      <c r="R16" s="175">
        <f t="shared" ref="R16" si="5">R15</f>
        <v>-1.85</v>
      </c>
      <c r="S16" s="176">
        <f>'Income Statement'!S37</f>
        <v>-0.33137105383559556</v>
      </c>
      <c r="T16" s="176">
        <f>'Income Statement'!T37</f>
        <v>-0.36309650053022269</v>
      </c>
      <c r="U16" s="176">
        <f>'Income Statement'!U37</f>
        <v>-0.17625482915683297</v>
      </c>
      <c r="V16" s="176">
        <f>'Income Statement'!V37</f>
        <v>-0.48944286331599884</v>
      </c>
      <c r="W16" s="175">
        <f>W12/W35</f>
        <v>-1.3614261583011582</v>
      </c>
    </row>
    <row r="17" spans="2:23" s="49" customFormat="1" ht="15" customHeight="1">
      <c r="B17" s="170"/>
      <c r="C17" s="126"/>
      <c r="D17" s="171"/>
      <c r="E17" s="171"/>
      <c r="F17" s="171"/>
      <c r="G17" s="171"/>
      <c r="H17" s="126"/>
      <c r="I17" s="171"/>
      <c r="J17" s="171"/>
      <c r="K17" s="171"/>
      <c r="L17" s="171"/>
      <c r="M17" s="126"/>
      <c r="N17" s="171"/>
      <c r="O17" s="171"/>
      <c r="P17" s="171"/>
      <c r="Q17" s="171"/>
      <c r="R17" s="126"/>
      <c r="S17" s="171"/>
      <c r="T17" s="171"/>
      <c r="U17" s="171"/>
      <c r="V17" s="171"/>
      <c r="W17" s="126"/>
    </row>
    <row r="18" spans="2:23" s="49" customFormat="1" ht="15" customHeight="1">
      <c r="B18" s="177" t="s">
        <v>1</v>
      </c>
      <c r="C18" s="113"/>
      <c r="D18" s="178"/>
      <c r="E18" s="178"/>
      <c r="F18" s="178"/>
      <c r="G18" s="178"/>
      <c r="H18" s="113"/>
      <c r="I18" s="178"/>
      <c r="J18" s="178"/>
      <c r="K18" s="178"/>
      <c r="L18" s="178"/>
      <c r="M18" s="113"/>
      <c r="N18" s="178"/>
      <c r="O18" s="178"/>
      <c r="P18" s="178"/>
      <c r="Q18" s="178"/>
      <c r="R18" s="113"/>
      <c r="S18" s="178"/>
      <c r="T18" s="178"/>
      <c r="U18" s="178"/>
      <c r="V18" s="178"/>
      <c r="W18" s="113"/>
    </row>
    <row r="19" spans="2:23" s="49" customFormat="1" ht="15" customHeight="1">
      <c r="B19" s="177" t="s">
        <v>118</v>
      </c>
      <c r="C19" s="179">
        <v>18618.054930000002</v>
      </c>
      <c r="D19" s="180">
        <v>5959</v>
      </c>
      <c r="E19" s="180">
        <v>6015</v>
      </c>
      <c r="F19" s="180">
        <v>5965</v>
      </c>
      <c r="G19" s="180">
        <v>5956</v>
      </c>
      <c r="H19" s="179">
        <f>SUM(D19:G19)</f>
        <v>23895</v>
      </c>
      <c r="I19" s="180">
        <v>5970</v>
      </c>
      <c r="J19" s="180">
        <v>3548</v>
      </c>
      <c r="K19" s="180">
        <v>3359</v>
      </c>
      <c r="L19" s="180">
        <v>2981</v>
      </c>
      <c r="M19" s="179">
        <f>SUM(I19:L19)</f>
        <v>15858</v>
      </c>
      <c r="N19" s="180">
        <f>'GAAP to Non-GAAP Inc Stmt'!R47</f>
        <v>3123</v>
      </c>
      <c r="O19" s="180">
        <f>'GAAP to Non-GAAP Inc Stmt'!S47</f>
        <v>5369</v>
      </c>
      <c r="P19" s="180">
        <f>'GAAP to Non-GAAP Inc Stmt'!T47</f>
        <v>5369</v>
      </c>
      <c r="Q19" s="180">
        <f>'GAAP to Non-GAAP Inc Stmt'!U47</f>
        <v>5181</v>
      </c>
      <c r="R19" s="179">
        <f>SUM(N19:Q19)</f>
        <v>19042</v>
      </c>
      <c r="S19" s="180">
        <f>'GAAP to Non-GAAP Inc Stmt'!W47</f>
        <v>5306</v>
      </c>
      <c r="T19" s="180">
        <f>'GAAP to Non-GAAP Inc Stmt'!X47</f>
        <v>4350</v>
      </c>
      <c r="U19" s="180">
        <f>'GAAP to Non-GAAP Inc Stmt'!Y47</f>
        <v>4213</v>
      </c>
      <c r="V19" s="180">
        <f>'GAAP to Non-GAAP Inc Stmt'!Z47</f>
        <v>4177</v>
      </c>
      <c r="W19" s="179">
        <f>SUM(S19:V19)</f>
        <v>18046</v>
      </c>
    </row>
    <row r="20" spans="2:23" s="49" customFormat="1" ht="15" customHeight="1">
      <c r="B20" s="177" t="s">
        <v>160</v>
      </c>
      <c r="C20" s="179">
        <v>39795</v>
      </c>
      <c r="D20" s="180">
        <v>12400</v>
      </c>
      <c r="E20" s="180">
        <v>13154</v>
      </c>
      <c r="F20" s="180">
        <v>13290</v>
      </c>
      <c r="G20" s="180">
        <v>14023</v>
      </c>
      <c r="H20" s="179">
        <f t="shared" ref="H20:H22" si="6">SUM(D20:G20)</f>
        <v>52867</v>
      </c>
      <c r="I20" s="180">
        <v>17798</v>
      </c>
      <c r="J20" s="180">
        <v>17667</v>
      </c>
      <c r="K20" s="180">
        <v>26082</v>
      </c>
      <c r="L20" s="180">
        <v>41175</v>
      </c>
      <c r="M20" s="179">
        <f>SUM(I20:L20)</f>
        <v>102722</v>
      </c>
      <c r="N20" s="180">
        <f>'GAAP to Non-GAAP Inc Stmt'!R48</f>
        <v>18630</v>
      </c>
      <c r="O20" s="180">
        <f>'GAAP to Non-GAAP Inc Stmt'!S48</f>
        <v>23354</v>
      </c>
      <c r="P20" s="180">
        <f>'GAAP to Non-GAAP Inc Stmt'!T48</f>
        <v>30295</v>
      </c>
      <c r="Q20" s="180">
        <f>'GAAP to Non-GAAP Inc Stmt'!U48</f>
        <v>17168</v>
      </c>
      <c r="R20" s="179">
        <f>SUM(N20:Q20)</f>
        <v>89447</v>
      </c>
      <c r="S20" s="180">
        <f>'GAAP to Non-GAAP Inc Stmt'!W48</f>
        <v>16485</v>
      </c>
      <c r="T20" s="180">
        <f>'GAAP to Non-GAAP Inc Stmt'!X48</f>
        <v>24204</v>
      </c>
      <c r="U20" s="180">
        <f>'GAAP to Non-GAAP Inc Stmt'!Y48</f>
        <v>23894</v>
      </c>
      <c r="V20" s="180">
        <f>'GAAP to Non-GAAP Inc Stmt'!Z48</f>
        <v>47124</v>
      </c>
      <c r="W20" s="179">
        <f>SUM(S20:V20)</f>
        <v>111707</v>
      </c>
    </row>
    <row r="21" spans="2:23" s="49" customFormat="1" ht="15" customHeight="1">
      <c r="B21" s="177" t="s">
        <v>94</v>
      </c>
      <c r="C21" s="179">
        <v>4672</v>
      </c>
      <c r="D21" s="180">
        <v>-3</v>
      </c>
      <c r="E21" s="180">
        <v>2833</v>
      </c>
      <c r="F21" s="180">
        <v>-788</v>
      </c>
      <c r="G21" s="180">
        <v>681</v>
      </c>
      <c r="H21" s="179">
        <f t="shared" si="6"/>
        <v>2723</v>
      </c>
      <c r="I21" s="180">
        <v>1</v>
      </c>
      <c r="J21" s="180">
        <v>489</v>
      </c>
      <c r="K21" s="180">
        <v>5043</v>
      </c>
      <c r="L21" s="180">
        <v>14400</v>
      </c>
      <c r="M21" s="179">
        <f>SUM(I21:L21)</f>
        <v>19933</v>
      </c>
      <c r="N21" s="180">
        <f>'GAAP to Non-GAAP Inc Stmt'!R49</f>
        <v>2276</v>
      </c>
      <c r="O21" s="180">
        <f>'GAAP to Non-GAAP Inc Stmt'!S49</f>
        <v>45</v>
      </c>
      <c r="P21" s="180">
        <f>'GAAP to Non-GAAP Inc Stmt'!T49</f>
        <v>233</v>
      </c>
      <c r="Q21" s="180">
        <f>'GAAP to Non-GAAP Inc Stmt'!U49</f>
        <v>2447</v>
      </c>
      <c r="R21" s="179">
        <f>SUM(N21:Q21)</f>
        <v>5001</v>
      </c>
      <c r="S21" s="180">
        <f>'GAAP to Non-GAAP Inc Stmt'!W49</f>
        <v>1995</v>
      </c>
      <c r="T21" s="180">
        <f>'GAAP to Non-GAAP Inc Stmt'!X49</f>
        <v>-619</v>
      </c>
      <c r="U21" s="180">
        <f>'GAAP to Non-GAAP Inc Stmt'!Y49</f>
        <v>-6</v>
      </c>
      <c r="V21" s="180">
        <f>'GAAP to Non-GAAP Inc Stmt'!Z49</f>
        <v>1345</v>
      </c>
      <c r="W21" s="179">
        <f>SUM(S21:V21)</f>
        <v>2715</v>
      </c>
    </row>
    <row r="22" spans="2:23" s="49" customFormat="1" ht="15" customHeight="1">
      <c r="B22" s="177" t="s">
        <v>117</v>
      </c>
      <c r="C22" s="179">
        <v>8639.0499999999975</v>
      </c>
      <c r="D22" s="181">
        <v>7119</v>
      </c>
      <c r="E22" s="181">
        <v>5453</v>
      </c>
      <c r="F22" s="181">
        <v>5214.1000000000004</v>
      </c>
      <c r="G22" s="181">
        <v>0</v>
      </c>
      <c r="H22" s="179">
        <f t="shared" si="6"/>
        <v>17786.099999999999</v>
      </c>
      <c r="I22" s="181">
        <v>0</v>
      </c>
      <c r="J22" s="181">
        <v>2122</v>
      </c>
      <c r="K22" s="181">
        <v>700</v>
      </c>
      <c r="L22" s="181">
        <v>-705</v>
      </c>
      <c r="M22" s="179">
        <f>SUM(I22:L22)</f>
        <v>2117</v>
      </c>
      <c r="N22" s="181">
        <v>0</v>
      </c>
      <c r="O22" s="181">
        <v>0</v>
      </c>
      <c r="P22" s="181">
        <v>0</v>
      </c>
      <c r="Q22" s="181">
        <v>0</v>
      </c>
      <c r="R22" s="179">
        <f>SUM(N22:Q22)</f>
        <v>0</v>
      </c>
      <c r="S22" s="181">
        <f>'GAAP to Non-GAAP Inc Stmt'!W50</f>
        <v>3605</v>
      </c>
      <c r="T22" s="181">
        <v>258</v>
      </c>
      <c r="U22" s="181">
        <v>0</v>
      </c>
      <c r="V22" s="181">
        <v>0</v>
      </c>
      <c r="W22" s="179">
        <f>SUM(S22:V22)</f>
        <v>3863</v>
      </c>
    </row>
    <row r="23" spans="2:23" s="49" customFormat="1" ht="15" customHeight="1">
      <c r="B23" s="182" t="s">
        <v>161</v>
      </c>
      <c r="C23" s="183">
        <v>0</v>
      </c>
      <c r="D23" s="184">
        <v>0</v>
      </c>
      <c r="E23" s="184">
        <v>0</v>
      </c>
      <c r="F23" s="184">
        <v>0</v>
      </c>
      <c r="G23" s="184">
        <v>0</v>
      </c>
      <c r="H23" s="183">
        <v>0</v>
      </c>
      <c r="I23" s="184">
        <v>0</v>
      </c>
      <c r="J23" s="184">
        <v>0</v>
      </c>
      <c r="K23" s="184">
        <v>1959</v>
      </c>
      <c r="L23" s="184">
        <v>1853</v>
      </c>
      <c r="M23" s="183">
        <f>SUM(I23:L23)</f>
        <v>3812</v>
      </c>
      <c r="N23" s="184">
        <f>'GAAP to Non-GAAP Inc Stmt'!R51</f>
        <v>1906</v>
      </c>
      <c r="O23" s="184">
        <f>'GAAP to Non-GAAP Inc Stmt'!S51</f>
        <v>1663</v>
      </c>
      <c r="P23" s="184">
        <f>'GAAP to Non-GAAP Inc Stmt'!T51</f>
        <v>0</v>
      </c>
      <c r="Q23" s="184">
        <f>'GAAP to Non-GAAP Inc Stmt'!U51</f>
        <v>0</v>
      </c>
      <c r="R23" s="183">
        <f>SUM(N23:Q23)</f>
        <v>3569</v>
      </c>
      <c r="S23" s="184">
        <f>'GAAP to Non-GAAP Inc Stmt'!W51</f>
        <v>0</v>
      </c>
      <c r="T23" s="184">
        <f>'GAAP to Non-GAAP Inc Stmt'!X51</f>
        <v>0</v>
      </c>
      <c r="U23" s="184">
        <f>'GAAP to Non-GAAP Inc Stmt'!Y51</f>
        <v>0</v>
      </c>
      <c r="V23" s="184">
        <f>'GAAP to Non-GAAP Inc Stmt'!Z51</f>
        <v>0</v>
      </c>
      <c r="W23" s="183">
        <f>SUM(S23:V23)</f>
        <v>0</v>
      </c>
    </row>
    <row r="24" spans="2:23" s="149" customFormat="1" ht="15" customHeight="1">
      <c r="B24" s="185" t="s">
        <v>19</v>
      </c>
      <c r="C24" s="169">
        <f>SUM(C19:C23)</f>
        <v>71724.104930000001</v>
      </c>
      <c r="D24" s="168">
        <f t="shared" ref="D24:H24" si="7">SUM(D19:D23)</f>
        <v>25475</v>
      </c>
      <c r="E24" s="168">
        <f t="shared" si="7"/>
        <v>27455</v>
      </c>
      <c r="F24" s="168">
        <f t="shared" si="7"/>
        <v>23681.1</v>
      </c>
      <c r="G24" s="168">
        <f t="shared" si="7"/>
        <v>20660</v>
      </c>
      <c r="H24" s="169">
        <f t="shared" si="7"/>
        <v>97271.1</v>
      </c>
      <c r="I24" s="168">
        <f t="shared" ref="I24" si="8">SUM(I19:I23)</f>
        <v>23769</v>
      </c>
      <c r="J24" s="168">
        <f t="shared" ref="J24" si="9">SUM(J19:J23)</f>
        <v>23826</v>
      </c>
      <c r="K24" s="168">
        <f t="shared" ref="K24" si="10">SUM(K19:K23)</f>
        <v>37143</v>
      </c>
      <c r="L24" s="168">
        <f t="shared" ref="L24" si="11">SUM(L19:L23)</f>
        <v>59704</v>
      </c>
      <c r="M24" s="169">
        <f t="shared" ref="M24:O24" si="12">SUM(M19:M23)</f>
        <v>144442</v>
      </c>
      <c r="N24" s="168">
        <f t="shared" si="12"/>
        <v>25935</v>
      </c>
      <c r="O24" s="168">
        <f t="shared" si="12"/>
        <v>30431</v>
      </c>
      <c r="P24" s="168">
        <f t="shared" ref="P24:T24" si="13">SUM(P19:P23)</f>
        <v>35897</v>
      </c>
      <c r="Q24" s="168">
        <f t="shared" si="13"/>
        <v>24796</v>
      </c>
      <c r="R24" s="169">
        <f t="shared" si="13"/>
        <v>117059</v>
      </c>
      <c r="S24" s="168">
        <f t="shared" si="13"/>
        <v>27391</v>
      </c>
      <c r="T24" s="168">
        <f t="shared" si="13"/>
        <v>28193</v>
      </c>
      <c r="U24" s="168">
        <f t="shared" ref="U24:W24" si="14">SUM(U19:U23)</f>
        <v>28101</v>
      </c>
      <c r="V24" s="168">
        <f t="shared" si="14"/>
        <v>52646</v>
      </c>
      <c r="W24" s="169">
        <f t="shared" si="14"/>
        <v>136331</v>
      </c>
    </row>
    <row r="25" spans="2:23" s="49" customFormat="1" ht="15" customHeight="1">
      <c r="B25" s="170"/>
      <c r="C25" s="113"/>
      <c r="D25" s="178"/>
      <c r="E25" s="178"/>
      <c r="F25" s="178"/>
      <c r="G25" s="178"/>
      <c r="H25" s="113"/>
      <c r="I25" s="178"/>
      <c r="J25" s="178"/>
      <c r="K25" s="178"/>
      <c r="L25" s="178"/>
      <c r="M25" s="113"/>
      <c r="N25" s="178"/>
      <c r="O25" s="178"/>
      <c r="P25" s="178"/>
      <c r="Q25" s="178"/>
      <c r="R25" s="113"/>
      <c r="S25" s="178"/>
      <c r="T25" s="178"/>
      <c r="U25" s="178"/>
      <c r="V25" s="178"/>
      <c r="W25" s="113"/>
    </row>
    <row r="26" spans="2:23" s="49" customFormat="1" ht="15" customHeight="1">
      <c r="B26" s="170" t="s">
        <v>20</v>
      </c>
      <c r="C26" s="126"/>
      <c r="D26" s="171"/>
      <c r="E26" s="171"/>
      <c r="F26" s="171"/>
      <c r="G26" s="171"/>
      <c r="H26" s="126"/>
      <c r="I26" s="171"/>
      <c r="J26" s="171"/>
      <c r="K26" s="171"/>
      <c r="L26" s="171"/>
      <c r="M26" s="126"/>
      <c r="N26" s="171"/>
      <c r="O26" s="171"/>
      <c r="P26" s="171"/>
      <c r="Q26" s="171"/>
      <c r="R26" s="126"/>
      <c r="S26" s="171"/>
      <c r="T26" s="171"/>
      <c r="U26" s="171"/>
      <c r="V26" s="171"/>
      <c r="W26" s="126"/>
    </row>
    <row r="27" spans="2:23" s="49" customFormat="1" ht="15" customHeight="1">
      <c r="B27" s="170" t="s">
        <v>95</v>
      </c>
      <c r="C27" s="186">
        <v>-59035.522600000448</v>
      </c>
      <c r="D27" s="187">
        <v>-14924</v>
      </c>
      <c r="E27" s="187">
        <v>-10415</v>
      </c>
      <c r="F27" s="187">
        <v>-3575.9000000000015</v>
      </c>
      <c r="G27" s="187">
        <v>-6836</v>
      </c>
      <c r="H27" s="186">
        <v>-35750.899999999994</v>
      </c>
      <c r="I27" s="187">
        <v>-5477</v>
      </c>
      <c r="J27" s="187">
        <v>-14654</v>
      </c>
      <c r="K27" s="187">
        <v>-664</v>
      </c>
      <c r="L27" s="187">
        <f>L10+L24</f>
        <v>-14119</v>
      </c>
      <c r="M27" s="186">
        <f>SUM(I27:L27)</f>
        <v>-34914</v>
      </c>
      <c r="N27" s="180">
        <f>N10+N24</f>
        <v>-16558</v>
      </c>
      <c r="O27" s="180">
        <f>O10+O24</f>
        <v>-15062</v>
      </c>
      <c r="P27" s="180">
        <f>P10+P24</f>
        <v>-2430</v>
      </c>
      <c r="Q27" s="187">
        <f>Q10+Q24</f>
        <v>-14428</v>
      </c>
      <c r="R27" s="186">
        <f>SUM(N27:Q27)</f>
        <v>-48478</v>
      </c>
      <c r="S27" s="180">
        <f>S10+S24</f>
        <v>1847</v>
      </c>
      <c r="T27" s="180">
        <f>T10+T24</f>
        <v>1116</v>
      </c>
      <c r="U27" s="180">
        <f>U10+U24</f>
        <v>12234</v>
      </c>
      <c r="V27" s="180">
        <f>V10+V24</f>
        <v>334</v>
      </c>
      <c r="W27" s="186">
        <f>SUM(S27:V27)</f>
        <v>15531</v>
      </c>
    </row>
    <row r="28" spans="2:23" s="49" customFormat="1" ht="15" customHeight="1">
      <c r="B28" s="188" t="s">
        <v>15</v>
      </c>
      <c r="C28" s="189">
        <v>-22797</v>
      </c>
      <c r="D28" s="190">
        <v>-4556</v>
      </c>
      <c r="E28" s="190">
        <v>-3164</v>
      </c>
      <c r="F28" s="190">
        <v>-2514</v>
      </c>
      <c r="G28" s="190">
        <v>-2352</v>
      </c>
      <c r="H28" s="189">
        <v>-12586</v>
      </c>
      <c r="I28" s="190">
        <v>-1078</v>
      </c>
      <c r="J28" s="190">
        <v>-3790</v>
      </c>
      <c r="K28" s="190">
        <v>-2941</v>
      </c>
      <c r="L28" s="190">
        <v>-5155</v>
      </c>
      <c r="M28" s="189">
        <f>SUM(I28:L28)</f>
        <v>-12964</v>
      </c>
      <c r="N28" s="184">
        <v>-216</v>
      </c>
      <c r="O28" s="184">
        <v>190</v>
      </c>
      <c r="P28" s="184">
        <v>-227</v>
      </c>
      <c r="Q28" s="190">
        <f>'Income Statement'!Q70</f>
        <v>-11199</v>
      </c>
      <c r="R28" s="189">
        <f>SUM(N28:Q28)</f>
        <v>-11452</v>
      </c>
      <c r="S28" s="184">
        <f>'Income Statement'!S70</f>
        <v>934</v>
      </c>
      <c r="T28" s="184">
        <v>-1291</v>
      </c>
      <c r="U28" s="289">
        <v>2347</v>
      </c>
      <c r="V28" s="289">
        <v>-2628</v>
      </c>
      <c r="W28" s="189">
        <f>SUM(S28:V28)</f>
        <v>-638</v>
      </c>
    </row>
    <row r="29" spans="2:23" s="149" customFormat="1" ht="15" customHeight="1">
      <c r="B29" s="185" t="s">
        <v>96</v>
      </c>
      <c r="C29" s="191">
        <f>C27-C28</f>
        <v>-36238.522600000448</v>
      </c>
      <c r="D29" s="192">
        <v>-10368</v>
      </c>
      <c r="E29" s="192">
        <v>-7251</v>
      </c>
      <c r="F29" s="192">
        <v>-1061.9000000000015</v>
      </c>
      <c r="G29" s="192">
        <v>-4484</v>
      </c>
      <c r="H29" s="191">
        <v>-23164.899999999994</v>
      </c>
      <c r="I29" s="192">
        <v>-4399</v>
      </c>
      <c r="J29" s="192">
        <v>-10864</v>
      </c>
      <c r="K29" s="192">
        <v>2277</v>
      </c>
      <c r="L29" s="192">
        <f t="shared" ref="L29:O29" si="15">L27-L28</f>
        <v>-8964</v>
      </c>
      <c r="M29" s="191">
        <f t="shared" si="15"/>
        <v>-21950</v>
      </c>
      <c r="N29" s="192">
        <f t="shared" si="15"/>
        <v>-16342</v>
      </c>
      <c r="O29" s="192">
        <f t="shared" si="15"/>
        <v>-15252</v>
      </c>
      <c r="P29" s="192">
        <f t="shared" ref="P29:T29" si="16">P27-P28</f>
        <v>-2203</v>
      </c>
      <c r="Q29" s="192">
        <f t="shared" si="16"/>
        <v>-3229</v>
      </c>
      <c r="R29" s="191">
        <f t="shared" si="16"/>
        <v>-37026</v>
      </c>
      <c r="S29" s="192">
        <f t="shared" si="16"/>
        <v>913</v>
      </c>
      <c r="T29" s="192">
        <f t="shared" si="16"/>
        <v>2407</v>
      </c>
      <c r="U29" s="192">
        <f t="shared" ref="U29:W29" si="17">U27-U28</f>
        <v>9887</v>
      </c>
      <c r="V29" s="192">
        <f t="shared" si="17"/>
        <v>2962</v>
      </c>
      <c r="W29" s="191">
        <f t="shared" si="17"/>
        <v>16169</v>
      </c>
    </row>
    <row r="30" spans="2:23" s="49" customFormat="1" ht="15" customHeight="1">
      <c r="B30" s="170"/>
      <c r="C30" s="126"/>
      <c r="D30" s="171"/>
      <c r="E30" s="171"/>
      <c r="F30" s="171"/>
      <c r="G30" s="171"/>
      <c r="H30" s="126"/>
      <c r="I30" s="171"/>
      <c r="J30" s="171"/>
      <c r="K30" s="171"/>
      <c r="L30" s="171"/>
      <c r="M30" s="126"/>
      <c r="N30" s="171"/>
      <c r="O30" s="171"/>
      <c r="P30" s="171"/>
      <c r="Q30" s="171"/>
      <c r="R30" s="126"/>
      <c r="S30" s="171"/>
      <c r="T30" s="171"/>
      <c r="U30" s="171"/>
      <c r="V30" s="171"/>
      <c r="W30" s="126"/>
    </row>
    <row r="31" spans="2:23" s="83" customFormat="1" ht="15" customHeight="1">
      <c r="B31" s="172" t="s">
        <v>121</v>
      </c>
      <c r="C31" s="173"/>
      <c r="D31" s="174"/>
      <c r="E31" s="174"/>
      <c r="F31" s="174"/>
      <c r="G31" s="174"/>
      <c r="H31" s="173"/>
      <c r="I31" s="174"/>
      <c r="J31" s="174"/>
      <c r="K31" s="174"/>
      <c r="L31" s="174"/>
      <c r="M31" s="173"/>
      <c r="N31" s="174"/>
      <c r="O31" s="174"/>
      <c r="P31" s="174"/>
      <c r="Q31" s="174"/>
      <c r="R31" s="173"/>
      <c r="S31" s="174"/>
      <c r="T31" s="174"/>
      <c r="U31" s="174"/>
      <c r="V31" s="174"/>
      <c r="W31" s="173"/>
    </row>
    <row r="32" spans="2:23" ht="15" customHeight="1">
      <c r="B32" s="193" t="s">
        <v>17</v>
      </c>
      <c r="C32" s="194">
        <f t="shared" ref="C32:L33" si="18">C$29/C35</f>
        <v>-0.46693711554072914</v>
      </c>
      <c r="D32" s="195">
        <f t="shared" si="18"/>
        <v>-0.13178767541183647</v>
      </c>
      <c r="E32" s="195">
        <f t="shared" si="18"/>
        <v>-9.151258913358995E-2</v>
      </c>
      <c r="F32" s="195">
        <f t="shared" si="18"/>
        <v>-1.3434459724453797E-2</v>
      </c>
      <c r="G32" s="195">
        <f t="shared" si="18"/>
        <v>-5.7038186582542547E-2</v>
      </c>
      <c r="H32" s="194">
        <f t="shared" si="18"/>
        <v>-0.29363171971454277</v>
      </c>
      <c r="I32" s="195">
        <f t="shared" si="18"/>
        <v>-5.7178137388704753E-2</v>
      </c>
      <c r="J32" s="195">
        <f t="shared" si="18"/>
        <v>-0.14027476500361533</v>
      </c>
      <c r="K32" s="195">
        <f t="shared" si="18"/>
        <v>2.9419364841468773E-2</v>
      </c>
      <c r="L32" s="195">
        <f t="shared" si="18"/>
        <v>-0.13124643113369155</v>
      </c>
      <c r="M32" s="194">
        <f>M$29/M35</f>
        <v>-0.29258864302852572</v>
      </c>
      <c r="N32" s="195">
        <f t="shared" ref="N32:O32" si="19">N$29/N35</f>
        <v>-0.23716367224915103</v>
      </c>
      <c r="O32" s="195">
        <f t="shared" si="19"/>
        <v>-0.22534129188582236</v>
      </c>
      <c r="P32" s="195">
        <f t="shared" ref="P32:Q32" si="20">P$29/P35</f>
        <v>-3.2650097075867385E-2</v>
      </c>
      <c r="Q32" s="195">
        <f t="shared" si="20"/>
        <v>-4.8210579751257893E-2</v>
      </c>
      <c r="R32" s="194">
        <f>R$29/R35</f>
        <v>-0.54642857142857137</v>
      </c>
      <c r="S32" s="195">
        <f t="shared" ref="S32:T32" si="21">S$29/S35</f>
        <v>1.3924050632911392E-2</v>
      </c>
      <c r="T32" s="195">
        <f t="shared" si="21"/>
        <v>3.6464172095137103E-2</v>
      </c>
      <c r="U32" s="195">
        <f t="shared" ref="U32:V32" si="22">U$29/U35</f>
        <v>0.14862528749455076</v>
      </c>
      <c r="V32" s="195">
        <f t="shared" si="22"/>
        <v>4.4135834661977916E-2</v>
      </c>
      <c r="W32" s="194">
        <f>W29/W35</f>
        <v>0.24386160714285715</v>
      </c>
    </row>
    <row r="33" spans="2:23" ht="15" customHeight="1">
      <c r="B33" s="193" t="s">
        <v>18</v>
      </c>
      <c r="C33" s="194">
        <f t="shared" si="18"/>
        <v>-0.46693711554072914</v>
      </c>
      <c r="D33" s="195">
        <f t="shared" si="18"/>
        <v>-0.13178767541183647</v>
      </c>
      <c r="E33" s="195">
        <f t="shared" si="18"/>
        <v>-9.151258913358995E-2</v>
      </c>
      <c r="F33" s="195">
        <f t="shared" si="18"/>
        <v>-1.3434459724453797E-2</v>
      </c>
      <c r="G33" s="195">
        <f t="shared" si="18"/>
        <v>-5.7038186582542547E-2</v>
      </c>
      <c r="H33" s="194">
        <f>H$29/H36</f>
        <v>-0.29363171971454277</v>
      </c>
      <c r="I33" s="195">
        <f t="shared" si="18"/>
        <v>-5.7178137388704753E-2</v>
      </c>
      <c r="J33" s="195">
        <f t="shared" si="18"/>
        <v>-0.14027476500361533</v>
      </c>
      <c r="K33" s="195">
        <f t="shared" si="18"/>
        <v>2.822470684483229E-2</v>
      </c>
      <c r="L33" s="195">
        <f t="shared" si="18"/>
        <v>-0.13124643113369155</v>
      </c>
      <c r="M33" s="194">
        <f>M$29/M36</f>
        <v>-0.29258864302852572</v>
      </c>
      <c r="N33" s="195">
        <f t="shared" ref="N33:O33" si="23">N$29/N36</f>
        <v>-0.23716367224915103</v>
      </c>
      <c r="O33" s="195">
        <f t="shared" si="23"/>
        <v>-0.22534129188582236</v>
      </c>
      <c r="P33" s="195">
        <f t="shared" ref="P33:Q33" si="24">P$29/P36</f>
        <v>-3.2650097075867385E-2</v>
      </c>
      <c r="Q33" s="195">
        <f t="shared" si="24"/>
        <v>-4.8210579751257893E-2</v>
      </c>
      <c r="R33" s="194">
        <f>R$29/R36</f>
        <v>-0.54642857142857137</v>
      </c>
      <c r="S33" s="195">
        <f t="shared" ref="S33:T33" si="25">S$29/S36</f>
        <v>1.3558667597309058E-2</v>
      </c>
      <c r="T33" s="195">
        <f t="shared" si="25"/>
        <v>3.4983431195860705E-2</v>
      </c>
      <c r="U33" s="195">
        <f t="shared" ref="U33:V33" si="26">U$29/U36</f>
        <v>0.14169831601576496</v>
      </c>
      <c r="V33" s="195">
        <f t="shared" si="26"/>
        <v>4.2353614070208052E-2</v>
      </c>
      <c r="W33" s="194">
        <f>W29/W36</f>
        <v>0.23445905775560807</v>
      </c>
    </row>
    <row r="34" spans="2:23" ht="15" customHeight="1">
      <c r="B34" s="193"/>
      <c r="C34" s="126"/>
      <c r="H34" s="126"/>
      <c r="M34" s="126"/>
      <c r="R34" s="126"/>
      <c r="W34" s="126"/>
    </row>
    <row r="35" spans="2:23" ht="15" customHeight="1">
      <c r="B35" s="193" t="s">
        <v>21</v>
      </c>
      <c r="C35" s="196">
        <v>77609</v>
      </c>
      <c r="D35" s="197">
        <v>78672</v>
      </c>
      <c r="E35" s="197">
        <v>79235</v>
      </c>
      <c r="F35" s="197">
        <v>79043</v>
      </c>
      <c r="G35" s="197">
        <v>78614</v>
      </c>
      <c r="H35" s="196">
        <v>78891</v>
      </c>
      <c r="I35" s="197">
        <v>76935</v>
      </c>
      <c r="J35" s="197">
        <v>77448</v>
      </c>
      <c r="K35" s="197">
        <v>77398</v>
      </c>
      <c r="L35" s="197">
        <v>68299</v>
      </c>
      <c r="M35" s="196">
        <v>75020</v>
      </c>
      <c r="N35" s="198">
        <v>68906</v>
      </c>
      <c r="O35" s="198">
        <v>67684</v>
      </c>
      <c r="P35" s="198">
        <v>67473</v>
      </c>
      <c r="Q35" s="197">
        <v>66977</v>
      </c>
      <c r="R35" s="196">
        <v>67760</v>
      </c>
      <c r="S35" s="198">
        <v>65570</v>
      </c>
      <c r="T35" s="198">
        <v>66010</v>
      </c>
      <c r="U35" s="198">
        <v>66523</v>
      </c>
      <c r="V35" s="198">
        <v>67111</v>
      </c>
      <c r="W35" s="196">
        <v>66304</v>
      </c>
    </row>
    <row r="36" spans="2:23" ht="15" customHeight="1">
      <c r="B36" s="193" t="s">
        <v>22</v>
      </c>
      <c r="C36" s="196">
        <v>77609</v>
      </c>
      <c r="D36" s="197">
        <v>78672</v>
      </c>
      <c r="E36" s="197">
        <v>79235</v>
      </c>
      <c r="F36" s="197">
        <v>79043</v>
      </c>
      <c r="G36" s="197">
        <v>78614</v>
      </c>
      <c r="H36" s="196">
        <v>78891</v>
      </c>
      <c r="I36" s="197">
        <v>76935</v>
      </c>
      <c r="J36" s="197">
        <v>77448</v>
      </c>
      <c r="K36" s="197">
        <v>80674</v>
      </c>
      <c r="L36" s="197">
        <v>68299</v>
      </c>
      <c r="M36" s="196">
        <v>75020</v>
      </c>
      <c r="N36" s="198">
        <v>68906</v>
      </c>
      <c r="O36" s="198">
        <v>67684</v>
      </c>
      <c r="P36" s="198">
        <v>67473</v>
      </c>
      <c r="Q36" s="197">
        <v>66977</v>
      </c>
      <c r="R36" s="196">
        <v>67760</v>
      </c>
      <c r="S36" s="198">
        <v>67337</v>
      </c>
      <c r="T36" s="198">
        <v>68804</v>
      </c>
      <c r="U36" s="198">
        <v>69775</v>
      </c>
      <c r="V36" s="198">
        <v>69935</v>
      </c>
      <c r="W36" s="196">
        <v>68963</v>
      </c>
    </row>
    <row r="37" spans="2:23" ht="15" customHeight="1">
      <c r="C37" s="134"/>
      <c r="H37" s="134"/>
      <c r="M37" s="134"/>
      <c r="R37" s="134"/>
      <c r="W37" s="134"/>
    </row>
    <row r="38" spans="2:23" ht="15" customHeight="1">
      <c r="B38" s="199"/>
    </row>
    <row r="39" spans="2:23" ht="15" customHeight="1">
      <c r="C39" s="112"/>
      <c r="D39" s="112"/>
      <c r="E39" s="112"/>
      <c r="F39" s="112"/>
      <c r="G39" s="112"/>
      <c r="H39" s="112"/>
      <c r="I39" s="112"/>
      <c r="J39" s="112"/>
      <c r="K39" s="112"/>
      <c r="L39" s="112"/>
      <c r="M39" s="112"/>
      <c r="N39" s="112"/>
      <c r="O39" s="112"/>
      <c r="P39" s="112"/>
      <c r="Q39" s="112"/>
      <c r="R39" s="112"/>
      <c r="S39" s="112"/>
      <c r="T39" s="112"/>
      <c r="U39" s="112"/>
      <c r="V39" s="112"/>
      <c r="W39" s="112"/>
    </row>
    <row r="50" spans="3:23" ht="15" customHeight="1">
      <c r="C50" s="136"/>
      <c r="D50" s="136"/>
      <c r="E50" s="136"/>
      <c r="F50" s="136"/>
      <c r="G50" s="136"/>
      <c r="H50" s="136"/>
      <c r="I50" s="136"/>
      <c r="J50" s="136"/>
      <c r="K50" s="136"/>
      <c r="L50" s="136"/>
      <c r="M50" s="136"/>
      <c r="N50" s="136"/>
      <c r="O50" s="136"/>
      <c r="P50" s="136"/>
      <c r="Q50" s="136"/>
      <c r="R50" s="136"/>
      <c r="S50" s="136"/>
      <c r="T50" s="136"/>
      <c r="U50" s="136"/>
      <c r="V50" s="136"/>
      <c r="W50" s="136"/>
    </row>
    <row r="53" spans="3:23" ht="15" customHeight="1">
      <c r="C53" s="136"/>
      <c r="D53" s="136"/>
      <c r="E53" s="136"/>
      <c r="F53" s="136"/>
      <c r="G53" s="136"/>
      <c r="H53" s="136"/>
      <c r="I53" s="136"/>
      <c r="J53" s="136"/>
      <c r="K53" s="136"/>
      <c r="L53" s="136"/>
      <c r="M53" s="136"/>
      <c r="N53" s="136"/>
      <c r="O53" s="136"/>
      <c r="P53" s="136"/>
      <c r="Q53" s="136"/>
      <c r="R53" s="136"/>
      <c r="S53" s="136"/>
      <c r="T53" s="136"/>
      <c r="U53" s="136"/>
      <c r="V53" s="136"/>
      <c r="W53" s="136"/>
    </row>
    <row r="61" spans="3:23" ht="15" customHeight="1">
      <c r="C61" s="136"/>
      <c r="D61" s="136"/>
      <c r="E61" s="136"/>
      <c r="F61" s="136"/>
      <c r="G61" s="136"/>
      <c r="H61" s="136"/>
      <c r="I61" s="136"/>
      <c r="J61" s="136"/>
      <c r="K61" s="136"/>
      <c r="L61" s="136"/>
      <c r="M61" s="136"/>
      <c r="N61" s="136"/>
      <c r="O61" s="136"/>
      <c r="P61" s="136"/>
      <c r="Q61" s="136"/>
      <c r="R61" s="136"/>
      <c r="S61" s="136"/>
      <c r="T61" s="136"/>
      <c r="U61" s="136"/>
      <c r="V61" s="136"/>
      <c r="W61" s="136"/>
    </row>
  </sheetData>
  <hyperlinks>
    <hyperlink ref="C4" location="Cover!A1" display="Back to Main" xr:uid="{EAAF9FBC-4D41-4CE1-BCD5-F44BD7720EBC}"/>
  </hyperlinks>
  <pageMargins left="0.25" right="0.25" top="0.5" bottom="0.5" header="0.3" footer="0.55000000000000004"/>
  <pageSetup scale="46" orientation="landscape" r:id="rId1"/>
  <headerFooter>
    <oddFooter>&amp;L&amp;8&amp;K01+046LiveRamp Holdings, Inc.&amp;C&amp;8&amp;K01+047Page &amp;P of &amp;N</oddFooter>
  </headerFooter>
  <ignoredErrors>
    <ignoredError sqref="H11 M23 H13:H23 H25:H31 M25:M29"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B1:V58"/>
  <sheetViews>
    <sheetView showGridLines="0" zoomScale="80" zoomScaleNormal="80" zoomScaleSheetLayoutView="80" workbookViewId="0">
      <pane xSplit="2" ySplit="7" topLeftCell="C29" activePane="bottomRight" state="frozen"/>
      <selection pane="topRight"/>
      <selection pane="bottomLeft"/>
      <selection pane="bottomRight" activeCell="B54" sqref="B54"/>
    </sheetView>
  </sheetViews>
  <sheetFormatPr defaultColWidth="8.7109375" defaultRowHeight="15" customHeight="1" outlineLevelCol="1"/>
  <cols>
    <col min="1" max="1" width="5.5703125" style="1" customWidth="1"/>
    <col min="2" max="2" width="59.42578125" style="1" customWidth="1"/>
    <col min="3" max="3" width="12" style="1" customWidth="1" outlineLevel="1"/>
    <col min="4" max="7" width="12" style="107" customWidth="1" outlineLevel="1"/>
    <col min="8" max="22" width="12" style="107" customWidth="1"/>
    <col min="23" max="24" width="13.42578125" style="1" customWidth="1"/>
    <col min="25" max="16384" width="8.7109375" style="1"/>
  </cols>
  <sheetData>
    <row r="1" spans="2:22" ht="15" customHeight="1">
      <c r="B1" s="200"/>
    </row>
    <row r="4" spans="2:22" ht="15" customHeight="1">
      <c r="C4" s="108" t="s">
        <v>49</v>
      </c>
    </row>
    <row r="5" spans="2:22" ht="15" customHeight="1">
      <c r="B5" s="201" t="s">
        <v>59</v>
      </c>
      <c r="C5" s="12"/>
      <c r="D5" s="202"/>
      <c r="E5" s="202"/>
      <c r="F5" s="202"/>
      <c r="G5" s="202"/>
      <c r="H5" s="202"/>
      <c r="I5" s="202"/>
      <c r="J5" s="202"/>
      <c r="K5" s="202"/>
      <c r="L5" s="202"/>
      <c r="M5" s="202"/>
      <c r="N5" s="202"/>
      <c r="O5" s="202"/>
      <c r="P5" s="202"/>
      <c r="Q5" s="202"/>
      <c r="R5" s="202"/>
      <c r="S5" s="202"/>
      <c r="T5" s="202"/>
      <c r="U5" s="202"/>
      <c r="V5" s="202"/>
    </row>
    <row r="6" spans="2:22" ht="15" customHeight="1">
      <c r="B6" s="203" t="s">
        <v>57</v>
      </c>
      <c r="C6" s="107"/>
    </row>
    <row r="7" spans="2:22" s="205" customFormat="1" ht="15" customHeight="1">
      <c r="B7" s="204"/>
      <c r="C7" s="50" t="s">
        <v>78</v>
      </c>
      <c r="D7" s="50" t="s">
        <v>79</v>
      </c>
      <c r="E7" s="50" t="s">
        <v>80</v>
      </c>
      <c r="F7" s="50" t="s">
        <v>81</v>
      </c>
      <c r="G7" s="51" t="s">
        <v>47</v>
      </c>
      <c r="H7" s="50" t="s">
        <v>82</v>
      </c>
      <c r="I7" s="50" t="s">
        <v>83</v>
      </c>
      <c r="J7" s="50" t="s">
        <v>84</v>
      </c>
      <c r="K7" s="50" t="s">
        <v>85</v>
      </c>
      <c r="L7" s="51" t="s">
        <v>86</v>
      </c>
      <c r="M7" s="50" t="s">
        <v>158</v>
      </c>
      <c r="N7" s="50" t="s">
        <v>157</v>
      </c>
      <c r="O7" s="50" t="s">
        <v>196</v>
      </c>
      <c r="P7" s="50" t="s">
        <v>197</v>
      </c>
      <c r="Q7" s="51" t="s">
        <v>198</v>
      </c>
      <c r="R7" s="50" t="s">
        <v>200</v>
      </c>
      <c r="S7" s="50" t="s">
        <v>201</v>
      </c>
      <c r="T7" s="50" t="s">
        <v>206</v>
      </c>
      <c r="U7" s="50" t="s">
        <v>212</v>
      </c>
      <c r="V7" s="51" t="s">
        <v>211</v>
      </c>
    </row>
    <row r="8" spans="2:22" s="205" customFormat="1" ht="15" customHeight="1">
      <c r="B8" s="204"/>
      <c r="C8" s="50"/>
      <c r="D8" s="50"/>
      <c r="E8" s="50"/>
      <c r="F8" s="50"/>
      <c r="G8" s="206"/>
      <c r="H8" s="50"/>
      <c r="I8" s="50"/>
      <c r="J8" s="50"/>
      <c r="K8" s="50"/>
      <c r="L8" s="206"/>
      <c r="M8" s="50"/>
      <c r="N8" s="50"/>
      <c r="O8" s="50"/>
      <c r="P8" s="50"/>
      <c r="Q8" s="206"/>
      <c r="R8" s="50"/>
      <c r="S8" s="50"/>
      <c r="T8" s="50"/>
      <c r="U8" s="50"/>
      <c r="V8" s="206"/>
    </row>
    <row r="9" spans="2:22" s="210" customFormat="1" ht="15" customHeight="1">
      <c r="B9" s="207" t="s">
        <v>162</v>
      </c>
      <c r="C9" s="208">
        <v>-1300</v>
      </c>
      <c r="D9" s="208">
        <v>-3336</v>
      </c>
      <c r="E9" s="208">
        <v>22941</v>
      </c>
      <c r="F9" s="208">
        <v>5175</v>
      </c>
      <c r="G9" s="209">
        <f>SUM(C9:F9)</f>
        <v>23480</v>
      </c>
      <c r="H9" s="208">
        <v>-3015</v>
      </c>
      <c r="I9" s="208">
        <v>20623</v>
      </c>
      <c r="J9" s="208">
        <v>1056400</v>
      </c>
      <c r="K9" s="208">
        <v>-45461</v>
      </c>
      <c r="L9" s="209">
        <f>SUM(H9:K9)</f>
        <v>1028547</v>
      </c>
      <c r="M9" s="208">
        <v>-42140</v>
      </c>
      <c r="N9" s="208">
        <v>-40202</v>
      </c>
      <c r="O9" s="208">
        <v>-38040</v>
      </c>
      <c r="P9" s="208">
        <v>-4129</v>
      </c>
      <c r="Q9" s="209">
        <f>SUM(M9:P9)</f>
        <v>-124511</v>
      </c>
      <c r="R9" s="208">
        <v>-21728</v>
      </c>
      <c r="S9" s="208">
        <v>-23968</v>
      </c>
      <c r="T9" s="208">
        <v>-11725</v>
      </c>
      <c r="U9" s="208">
        <v>-32847</v>
      </c>
      <c r="V9" s="209">
        <f>SUM(R9:U9)</f>
        <v>-90268</v>
      </c>
    </row>
    <row r="10" spans="2:22" s="9" customFormat="1" ht="15" customHeight="1">
      <c r="B10" s="200" t="s">
        <v>170</v>
      </c>
      <c r="C10" s="211">
        <v>-24915</v>
      </c>
      <c r="D10" s="211">
        <v>-21855</v>
      </c>
      <c r="E10" s="211">
        <v>-19824</v>
      </c>
      <c r="F10" s="211">
        <v>-24185</v>
      </c>
      <c r="G10" s="212">
        <f>SUM(C10:F10)</f>
        <v>-90779</v>
      </c>
      <c r="H10" s="211">
        <v>-24803</v>
      </c>
      <c r="I10" s="211">
        <v>-61803</v>
      </c>
      <c r="J10" s="211">
        <v>-1071661</v>
      </c>
      <c r="K10" s="211">
        <v>-4227</v>
      </c>
      <c r="L10" s="212">
        <f>SUM(H10:K10)</f>
        <v>-1162494</v>
      </c>
      <c r="M10" s="211">
        <v>0</v>
      </c>
      <c r="N10" s="211">
        <v>0</v>
      </c>
      <c r="O10" s="211">
        <v>0</v>
      </c>
      <c r="P10" s="211">
        <v>-750</v>
      </c>
      <c r="Q10" s="212">
        <f>SUM(M10:P10)</f>
        <v>-750</v>
      </c>
      <c r="R10" s="211">
        <v>0</v>
      </c>
      <c r="S10" s="211">
        <v>0</v>
      </c>
      <c r="T10" s="211">
        <v>0</v>
      </c>
      <c r="U10" s="211">
        <v>0</v>
      </c>
      <c r="V10" s="212">
        <f>SUM(R10:U10)</f>
        <v>0</v>
      </c>
    </row>
    <row r="11" spans="2:22" s="9" customFormat="1" ht="15" customHeight="1">
      <c r="B11" s="207" t="s">
        <v>67</v>
      </c>
      <c r="C11" s="211"/>
      <c r="D11" s="211"/>
      <c r="E11" s="211"/>
      <c r="F11" s="211"/>
      <c r="G11" s="212"/>
      <c r="H11" s="211"/>
      <c r="I11" s="211"/>
      <c r="J11" s="211"/>
      <c r="K11" s="211"/>
      <c r="L11" s="212"/>
      <c r="M11" s="211"/>
      <c r="N11" s="211"/>
      <c r="O11" s="211"/>
      <c r="P11" s="211"/>
      <c r="Q11" s="212"/>
      <c r="R11" s="211"/>
      <c r="S11" s="211"/>
      <c r="T11" s="211"/>
      <c r="U11" s="211"/>
      <c r="V11" s="212"/>
    </row>
    <row r="12" spans="2:22" s="9" customFormat="1" ht="15" customHeight="1">
      <c r="B12" s="200" t="s">
        <v>69</v>
      </c>
      <c r="C12" s="211">
        <v>9193</v>
      </c>
      <c r="D12" s="211">
        <v>9765</v>
      </c>
      <c r="E12" s="211">
        <v>9297</v>
      </c>
      <c r="F12" s="211">
        <v>9392</v>
      </c>
      <c r="G12" s="212">
        <f>SUM(C12:F12)</f>
        <v>37647</v>
      </c>
      <c r="H12" s="211">
        <v>9403</v>
      </c>
      <c r="I12" s="211">
        <v>7018</v>
      </c>
      <c r="J12" s="211">
        <v>8853</v>
      </c>
      <c r="K12" s="211">
        <v>8508</v>
      </c>
      <c r="L12" s="212">
        <f>SUM(H12:K12)</f>
        <v>33782</v>
      </c>
      <c r="M12" s="211">
        <v>8877</v>
      </c>
      <c r="N12" s="211">
        <v>10977</v>
      </c>
      <c r="O12" s="211">
        <v>8104</v>
      </c>
      <c r="P12" s="211">
        <v>7943</v>
      </c>
      <c r="Q12" s="212">
        <f>SUM(M12:P12)</f>
        <v>35901</v>
      </c>
      <c r="R12" s="211">
        <v>8054</v>
      </c>
      <c r="S12" s="211">
        <v>6901</v>
      </c>
      <c r="T12" s="211">
        <v>6509</v>
      </c>
      <c r="U12" s="211">
        <v>6277</v>
      </c>
      <c r="V12" s="212">
        <f>SUM(R12:U12)</f>
        <v>27741</v>
      </c>
    </row>
    <row r="13" spans="2:22" s="9" customFormat="1" ht="15" customHeight="1">
      <c r="B13" s="200" t="s">
        <v>171</v>
      </c>
      <c r="C13" s="211">
        <v>-7</v>
      </c>
      <c r="D13" s="211">
        <v>2132</v>
      </c>
      <c r="E13" s="211">
        <v>178</v>
      </c>
      <c r="F13" s="211">
        <v>588</v>
      </c>
      <c r="G13" s="212">
        <f t="shared" ref="G13:G24" si="0">SUM(C13:F13)</f>
        <v>2891</v>
      </c>
      <c r="H13" s="211">
        <v>-15</v>
      </c>
      <c r="I13" s="211">
        <v>490</v>
      </c>
      <c r="J13" s="211">
        <v>2870</v>
      </c>
      <c r="K13" s="211">
        <v>115</v>
      </c>
      <c r="L13" s="212">
        <f t="shared" ref="L13:L24" si="1">SUM(H13:K13)</f>
        <v>3460</v>
      </c>
      <c r="M13" s="211">
        <v>85</v>
      </c>
      <c r="N13" s="211">
        <v>-225</v>
      </c>
      <c r="O13" s="211">
        <v>0</v>
      </c>
      <c r="P13" s="211">
        <v>1865</v>
      </c>
      <c r="Q13" s="212">
        <f t="shared" ref="Q13:Q24" si="2">SUM(M13:P13)</f>
        <v>1725</v>
      </c>
      <c r="R13" s="211">
        <v>2</v>
      </c>
      <c r="S13" s="211">
        <v>331</v>
      </c>
      <c r="T13" s="211">
        <v>1</v>
      </c>
      <c r="U13" s="211">
        <v>54</v>
      </c>
      <c r="V13" s="212">
        <f t="shared" ref="V13:V24" si="3">SUM(R13:U13)</f>
        <v>388</v>
      </c>
    </row>
    <row r="14" spans="2:22" s="9" customFormat="1" ht="15" customHeight="1">
      <c r="B14" s="200" t="s">
        <v>172</v>
      </c>
      <c r="C14" s="211">
        <v>-42</v>
      </c>
      <c r="D14" s="211">
        <v>304</v>
      </c>
      <c r="E14" s="211">
        <v>60</v>
      </c>
      <c r="F14" s="211">
        <v>892</v>
      </c>
      <c r="G14" s="212">
        <f t="shared" si="0"/>
        <v>1214</v>
      </c>
      <c r="H14" s="211">
        <v>-464</v>
      </c>
      <c r="I14" s="211">
        <v>1095</v>
      </c>
      <c r="J14" s="211">
        <v>628</v>
      </c>
      <c r="K14" s="211">
        <v>1810</v>
      </c>
      <c r="L14" s="212">
        <f t="shared" si="1"/>
        <v>3069</v>
      </c>
      <c r="M14" s="211">
        <v>962</v>
      </c>
      <c r="N14" s="211">
        <v>1468</v>
      </c>
      <c r="O14" s="211">
        <v>1253</v>
      </c>
      <c r="P14" s="211">
        <v>3450</v>
      </c>
      <c r="Q14" s="212">
        <f t="shared" si="2"/>
        <v>7133</v>
      </c>
      <c r="R14" s="211">
        <v>1330</v>
      </c>
      <c r="S14" s="211">
        <v>1192</v>
      </c>
      <c r="T14" s="211">
        <v>824</v>
      </c>
      <c r="U14" s="211">
        <v>-431</v>
      </c>
      <c r="V14" s="212">
        <f t="shared" si="3"/>
        <v>2915</v>
      </c>
    </row>
    <row r="15" spans="2:22" s="9" customFormat="1" ht="15" customHeight="1">
      <c r="B15" s="200" t="s">
        <v>70</v>
      </c>
      <c r="C15" s="211">
        <v>720</v>
      </c>
      <c r="D15" s="211">
        <v>0</v>
      </c>
      <c r="E15" s="211">
        <v>0</v>
      </c>
      <c r="F15" s="211">
        <v>0</v>
      </c>
      <c r="G15" s="212">
        <f t="shared" si="0"/>
        <v>720</v>
      </c>
      <c r="H15" s="211">
        <v>0</v>
      </c>
      <c r="I15" s="211">
        <v>0</v>
      </c>
      <c r="J15" s="211">
        <v>0</v>
      </c>
      <c r="K15" s="211">
        <v>0</v>
      </c>
      <c r="L15" s="212">
        <f t="shared" si="1"/>
        <v>0</v>
      </c>
      <c r="M15" s="211">
        <v>0</v>
      </c>
      <c r="N15" s="211">
        <v>0</v>
      </c>
      <c r="O15" s="211">
        <v>0</v>
      </c>
      <c r="P15" s="211">
        <v>0</v>
      </c>
      <c r="Q15" s="212">
        <f t="shared" si="2"/>
        <v>0</v>
      </c>
      <c r="R15" s="211">
        <v>0</v>
      </c>
      <c r="S15" s="211">
        <v>0</v>
      </c>
      <c r="T15" s="211">
        <v>0</v>
      </c>
      <c r="U15" s="211">
        <v>0</v>
      </c>
      <c r="V15" s="212">
        <f t="shared" si="3"/>
        <v>0</v>
      </c>
    </row>
    <row r="16" spans="2:22" s="9" customFormat="1" ht="15" customHeight="1">
      <c r="B16" s="200" t="s">
        <v>60</v>
      </c>
      <c r="C16" s="211">
        <v>2848</v>
      </c>
      <c r="D16" s="211">
        <v>-5480</v>
      </c>
      <c r="E16" s="211">
        <v>-28757</v>
      </c>
      <c r="F16" s="211">
        <v>3591</v>
      </c>
      <c r="G16" s="212">
        <f t="shared" si="0"/>
        <v>-27798</v>
      </c>
      <c r="H16" s="211">
        <v>-1692</v>
      </c>
      <c r="I16" s="211">
        <v>14136</v>
      </c>
      <c r="J16" s="211">
        <v>16089</v>
      </c>
      <c r="K16" s="211">
        <v>-18639</v>
      </c>
      <c r="L16" s="212">
        <f t="shared" si="1"/>
        <v>9894</v>
      </c>
      <c r="M16" s="211">
        <v>7</v>
      </c>
      <c r="N16" s="211">
        <v>-5090</v>
      </c>
      <c r="O16" s="211">
        <v>6548</v>
      </c>
      <c r="P16" s="211">
        <v>-8343</v>
      </c>
      <c r="Q16" s="212">
        <f t="shared" si="2"/>
        <v>-6878</v>
      </c>
      <c r="R16" s="211">
        <v>-672</v>
      </c>
      <c r="S16" s="211">
        <v>187</v>
      </c>
      <c r="T16" s="211">
        <v>485</v>
      </c>
      <c r="U16" s="211">
        <v>-1418</v>
      </c>
      <c r="V16" s="212">
        <f t="shared" si="3"/>
        <v>-1418</v>
      </c>
    </row>
    <row r="17" spans="2:22" s="9" customFormat="1" ht="15" customHeight="1">
      <c r="B17" s="200" t="s">
        <v>61</v>
      </c>
      <c r="C17" s="211">
        <v>12400</v>
      </c>
      <c r="D17" s="211">
        <v>13154</v>
      </c>
      <c r="E17" s="211">
        <v>13290</v>
      </c>
      <c r="F17" s="211">
        <v>14023</v>
      </c>
      <c r="G17" s="212">
        <f t="shared" si="0"/>
        <v>52867</v>
      </c>
      <c r="H17" s="211">
        <v>17798</v>
      </c>
      <c r="I17" s="211">
        <v>17667</v>
      </c>
      <c r="J17" s="211">
        <v>26082</v>
      </c>
      <c r="K17" s="211">
        <v>41175</v>
      </c>
      <c r="L17" s="212">
        <f t="shared" si="1"/>
        <v>102722</v>
      </c>
      <c r="M17" s="211">
        <v>18630</v>
      </c>
      <c r="N17" s="211">
        <v>23354</v>
      </c>
      <c r="O17" s="211">
        <v>30295</v>
      </c>
      <c r="P17" s="211">
        <v>17168</v>
      </c>
      <c r="Q17" s="212">
        <f t="shared" si="2"/>
        <v>89447</v>
      </c>
      <c r="R17" s="211">
        <v>16485</v>
      </c>
      <c r="S17" s="211">
        <v>24204</v>
      </c>
      <c r="T17" s="211">
        <v>23894</v>
      </c>
      <c r="U17" s="211">
        <v>47124</v>
      </c>
      <c r="V17" s="212">
        <f t="shared" si="3"/>
        <v>111707</v>
      </c>
    </row>
    <row r="18" spans="2:22" s="9" customFormat="1" ht="15" customHeight="1">
      <c r="B18" s="200" t="s">
        <v>173</v>
      </c>
      <c r="C18" s="211"/>
      <c r="D18" s="211"/>
      <c r="E18" s="211"/>
      <c r="F18" s="211"/>
      <c r="G18" s="212"/>
      <c r="H18" s="211"/>
      <c r="I18" s="211"/>
      <c r="J18" s="211"/>
      <c r="K18" s="211"/>
      <c r="L18" s="212"/>
      <c r="M18" s="211"/>
      <c r="N18" s="211"/>
      <c r="O18" s="211"/>
      <c r="P18" s="211"/>
      <c r="Q18" s="212"/>
      <c r="R18" s="211"/>
      <c r="S18" s="211"/>
      <c r="T18" s="211"/>
      <c r="U18" s="211"/>
      <c r="V18" s="212"/>
    </row>
    <row r="19" spans="2:22" s="9" customFormat="1" ht="15" customHeight="1">
      <c r="B19" s="200" t="s">
        <v>71</v>
      </c>
      <c r="C19" s="211">
        <v>3626</v>
      </c>
      <c r="D19" s="211">
        <v>-8301</v>
      </c>
      <c r="E19" s="211">
        <v>-5143</v>
      </c>
      <c r="F19" s="211">
        <v>-3885</v>
      </c>
      <c r="G19" s="212">
        <f t="shared" si="0"/>
        <v>-13703</v>
      </c>
      <c r="H19" s="211">
        <v>-852</v>
      </c>
      <c r="I19" s="211">
        <v>-1797</v>
      </c>
      <c r="J19" s="211">
        <v>-32362</v>
      </c>
      <c r="K19" s="211">
        <v>-9400</v>
      </c>
      <c r="L19" s="212">
        <f t="shared" si="1"/>
        <v>-44411</v>
      </c>
      <c r="M19" s="211">
        <v>-3451</v>
      </c>
      <c r="N19" s="211">
        <v>-7807</v>
      </c>
      <c r="O19" s="211">
        <v>-593</v>
      </c>
      <c r="P19" s="211">
        <v>-8667</v>
      </c>
      <c r="Q19" s="212">
        <f t="shared" si="2"/>
        <v>-20518</v>
      </c>
      <c r="R19" s="211">
        <v>-5860</v>
      </c>
      <c r="S19" s="211">
        <v>-3724</v>
      </c>
      <c r="T19" s="211">
        <v>-17062</v>
      </c>
      <c r="U19" s="211">
        <v>1818</v>
      </c>
      <c r="V19" s="212">
        <f t="shared" si="3"/>
        <v>-24828</v>
      </c>
    </row>
    <row r="20" spans="2:22" s="9" customFormat="1" ht="15" customHeight="1">
      <c r="B20" s="200" t="s">
        <v>72</v>
      </c>
      <c r="C20" s="211">
        <v>0</v>
      </c>
      <c r="D20" s="211">
        <v>0</v>
      </c>
      <c r="E20" s="211">
        <v>0</v>
      </c>
      <c r="F20" s="211">
        <v>0</v>
      </c>
      <c r="G20" s="212">
        <f t="shared" si="0"/>
        <v>0</v>
      </c>
      <c r="H20" s="211">
        <v>-998</v>
      </c>
      <c r="I20" s="211">
        <v>-1049</v>
      </c>
      <c r="J20" s="211">
        <v>-988</v>
      </c>
      <c r="K20" s="211">
        <v>-1263</v>
      </c>
      <c r="L20" s="212">
        <f t="shared" si="1"/>
        <v>-4298</v>
      </c>
      <c r="M20" s="211">
        <v>174</v>
      </c>
      <c r="N20" s="211">
        <v>-780</v>
      </c>
      <c r="O20" s="211">
        <v>-2104</v>
      </c>
      <c r="P20" s="211">
        <v>-2563</v>
      </c>
      <c r="Q20" s="212">
        <f t="shared" si="2"/>
        <v>-5273</v>
      </c>
      <c r="R20" s="211">
        <v>-1681</v>
      </c>
      <c r="S20" s="211">
        <v>-1764</v>
      </c>
      <c r="T20" s="211">
        <v>-1637</v>
      </c>
      <c r="U20" s="211">
        <v>-1523</v>
      </c>
      <c r="V20" s="212">
        <f t="shared" si="3"/>
        <v>-6605</v>
      </c>
    </row>
    <row r="21" spans="2:22" s="9" customFormat="1" ht="15" customHeight="1">
      <c r="B21" s="200" t="s">
        <v>73</v>
      </c>
      <c r="C21" s="211">
        <v>1253</v>
      </c>
      <c r="D21" s="211">
        <v>231</v>
      </c>
      <c r="E21" s="211">
        <v>148</v>
      </c>
      <c r="F21" s="211">
        <v>-1070</v>
      </c>
      <c r="G21" s="212">
        <f t="shared" si="0"/>
        <v>562</v>
      </c>
      <c r="H21" s="211">
        <v>-574</v>
      </c>
      <c r="I21" s="211">
        <v>1838</v>
      </c>
      <c r="J21" s="211">
        <v>-6151</v>
      </c>
      <c r="K21" s="211">
        <v>1781</v>
      </c>
      <c r="L21" s="212">
        <f t="shared" si="1"/>
        <v>-3106</v>
      </c>
      <c r="M21" s="211">
        <v>3600</v>
      </c>
      <c r="N21" s="211">
        <v>-7497</v>
      </c>
      <c r="O21" s="211">
        <v>6301</v>
      </c>
      <c r="P21" s="211">
        <v>-8548</v>
      </c>
      <c r="Q21" s="212">
        <f t="shared" si="2"/>
        <v>-6144</v>
      </c>
      <c r="R21" s="211">
        <v>4904</v>
      </c>
      <c r="S21" s="211">
        <v>2799</v>
      </c>
      <c r="T21" s="211">
        <v>-192</v>
      </c>
      <c r="U21" s="211">
        <v>-26283</v>
      </c>
      <c r="V21" s="212">
        <f t="shared" si="3"/>
        <v>-18772</v>
      </c>
    </row>
    <row r="22" spans="2:22" s="9" customFormat="1" ht="15" customHeight="1">
      <c r="B22" s="200" t="s">
        <v>74</v>
      </c>
      <c r="C22" s="211">
        <v>-2432</v>
      </c>
      <c r="D22" s="211">
        <v>-543</v>
      </c>
      <c r="E22" s="211">
        <v>5849</v>
      </c>
      <c r="F22" s="211">
        <v>-6093</v>
      </c>
      <c r="G22" s="212">
        <f t="shared" si="0"/>
        <v>-3219</v>
      </c>
      <c r="H22" s="211">
        <v>4403</v>
      </c>
      <c r="I22" s="211">
        <v>-8888</v>
      </c>
      <c r="J22" s="211">
        <v>22989</v>
      </c>
      <c r="K22" s="211">
        <v>6804</v>
      </c>
      <c r="L22" s="212">
        <f t="shared" si="1"/>
        <v>25308</v>
      </c>
      <c r="M22" s="211">
        <v>-188</v>
      </c>
      <c r="N22" s="211">
        <v>3009</v>
      </c>
      <c r="O22" s="211">
        <v>9776</v>
      </c>
      <c r="P22" s="211">
        <v>12326</v>
      </c>
      <c r="Q22" s="212">
        <f t="shared" si="2"/>
        <v>24923</v>
      </c>
      <c r="R22" s="211">
        <v>-22684</v>
      </c>
      <c r="S22" s="211">
        <v>2013</v>
      </c>
      <c r="T22" s="211">
        <v>13824</v>
      </c>
      <c r="U22" s="211">
        <v>6731</v>
      </c>
      <c r="V22" s="212">
        <f t="shared" si="3"/>
        <v>-116</v>
      </c>
    </row>
    <row r="23" spans="2:22" s="9" customFormat="1" ht="15" customHeight="1">
      <c r="B23" s="200" t="s">
        <v>168</v>
      </c>
      <c r="C23" s="211">
        <v>-10889</v>
      </c>
      <c r="D23" s="211">
        <v>5851</v>
      </c>
      <c r="E23" s="211">
        <v>14390</v>
      </c>
      <c r="F23" s="211">
        <v>-7042</v>
      </c>
      <c r="G23" s="212">
        <f t="shared" si="0"/>
        <v>2310</v>
      </c>
      <c r="H23" s="211">
        <v>-1898</v>
      </c>
      <c r="I23" s="211">
        <v>-14518</v>
      </c>
      <c r="J23" s="211">
        <v>-33631</v>
      </c>
      <c r="K23" s="211">
        <v>55134</v>
      </c>
      <c r="L23" s="212">
        <f t="shared" si="1"/>
        <v>5087</v>
      </c>
      <c r="M23" s="211">
        <v>-863</v>
      </c>
      <c r="N23" s="211">
        <v>-6926</v>
      </c>
      <c r="O23" s="211">
        <v>-5634</v>
      </c>
      <c r="P23" s="211">
        <v>-12030</v>
      </c>
      <c r="Q23" s="212">
        <f t="shared" si="2"/>
        <v>-25453</v>
      </c>
      <c r="R23" s="211">
        <v>-1105</v>
      </c>
      <c r="S23" s="211">
        <v>-2478</v>
      </c>
      <c r="T23" s="211">
        <v>-5399</v>
      </c>
      <c r="U23" s="211">
        <v>-17233</v>
      </c>
      <c r="V23" s="212">
        <f t="shared" si="3"/>
        <v>-26215</v>
      </c>
    </row>
    <row r="24" spans="2:22" s="9" customFormat="1" ht="15" customHeight="1">
      <c r="B24" s="213" t="s">
        <v>75</v>
      </c>
      <c r="C24" s="214">
        <v>-1277</v>
      </c>
      <c r="D24" s="214">
        <v>49</v>
      </c>
      <c r="E24" s="214">
        <v>1667</v>
      </c>
      <c r="F24" s="214">
        <v>-721</v>
      </c>
      <c r="G24" s="215">
        <f t="shared" si="0"/>
        <v>-282</v>
      </c>
      <c r="H24" s="214">
        <v>427</v>
      </c>
      <c r="I24" s="214">
        <v>-1942</v>
      </c>
      <c r="J24" s="214">
        <v>-40</v>
      </c>
      <c r="K24" s="214">
        <v>2017</v>
      </c>
      <c r="L24" s="215">
        <f t="shared" si="1"/>
        <v>462</v>
      </c>
      <c r="M24" s="214">
        <v>-1101</v>
      </c>
      <c r="N24" s="214">
        <v>968</v>
      </c>
      <c r="O24" s="214">
        <v>-102</v>
      </c>
      <c r="P24" s="214">
        <v>2058</v>
      </c>
      <c r="Q24" s="215">
        <f t="shared" si="2"/>
        <v>1823</v>
      </c>
      <c r="R24" s="214">
        <v>-657</v>
      </c>
      <c r="S24" s="214">
        <v>556</v>
      </c>
      <c r="T24" s="214">
        <v>5168</v>
      </c>
      <c r="U24" s="214">
        <v>-156</v>
      </c>
      <c r="V24" s="215">
        <f t="shared" si="3"/>
        <v>4911</v>
      </c>
    </row>
    <row r="25" spans="2:22" s="84" customFormat="1" ht="15" customHeight="1">
      <c r="B25" s="207" t="s">
        <v>163</v>
      </c>
      <c r="C25" s="216">
        <f t="shared" ref="C25:L25" si="4">SUM(C9:C24)</f>
        <v>-10822</v>
      </c>
      <c r="D25" s="216">
        <f t="shared" si="4"/>
        <v>-8029</v>
      </c>
      <c r="E25" s="216">
        <f t="shared" si="4"/>
        <v>14096</v>
      </c>
      <c r="F25" s="216">
        <f t="shared" si="4"/>
        <v>-9335</v>
      </c>
      <c r="G25" s="217">
        <f t="shared" si="4"/>
        <v>-14090</v>
      </c>
      <c r="H25" s="216">
        <f t="shared" si="4"/>
        <v>-2280</v>
      </c>
      <c r="I25" s="216">
        <f t="shared" si="4"/>
        <v>-27130</v>
      </c>
      <c r="J25" s="216">
        <f t="shared" si="4"/>
        <v>-10922</v>
      </c>
      <c r="K25" s="216">
        <f t="shared" si="4"/>
        <v>38354</v>
      </c>
      <c r="L25" s="217">
        <f t="shared" si="4"/>
        <v>-1978</v>
      </c>
      <c r="M25" s="216">
        <f t="shared" ref="M25" si="5">SUM(M9:M24)</f>
        <v>-15408</v>
      </c>
      <c r="N25" s="216">
        <f t="shared" ref="N25:R25" si="6">SUM(N9:N24)</f>
        <v>-28751</v>
      </c>
      <c r="O25" s="216">
        <f t="shared" si="6"/>
        <v>15804</v>
      </c>
      <c r="P25" s="216">
        <f t="shared" si="6"/>
        <v>-220</v>
      </c>
      <c r="Q25" s="217">
        <f t="shared" si="6"/>
        <v>-28575</v>
      </c>
      <c r="R25" s="216">
        <f t="shared" si="6"/>
        <v>-23612</v>
      </c>
      <c r="S25" s="216">
        <f t="shared" ref="S25:T25" si="7">SUM(S9:S24)</f>
        <v>6249</v>
      </c>
      <c r="T25" s="216">
        <f t="shared" si="7"/>
        <v>14690</v>
      </c>
      <c r="U25" s="216">
        <f t="shared" ref="U25:V25" si="8">SUM(U9:U24)</f>
        <v>-17887</v>
      </c>
      <c r="V25" s="217">
        <f t="shared" si="8"/>
        <v>-20560</v>
      </c>
    </row>
    <row r="26" spans="2:22" s="9" customFormat="1" ht="15" customHeight="1">
      <c r="B26" s="200"/>
      <c r="C26" s="218"/>
      <c r="D26" s="218"/>
      <c r="E26" s="218"/>
      <c r="F26" s="218"/>
      <c r="G26" s="186"/>
      <c r="H26" s="218"/>
      <c r="I26" s="218"/>
      <c r="J26" s="218"/>
      <c r="K26" s="218"/>
      <c r="L26" s="186"/>
      <c r="M26" s="218"/>
      <c r="N26" s="218"/>
      <c r="O26" s="218"/>
      <c r="P26" s="218"/>
      <c r="Q26" s="186"/>
      <c r="R26" s="218"/>
      <c r="S26" s="218"/>
      <c r="T26" s="218"/>
      <c r="U26" s="218"/>
      <c r="V26" s="186"/>
    </row>
    <row r="27" spans="2:22" s="9" customFormat="1" ht="15" customHeight="1">
      <c r="B27" s="207" t="s">
        <v>68</v>
      </c>
      <c r="C27" s="219"/>
      <c r="D27" s="219"/>
      <c r="E27" s="219"/>
      <c r="F27" s="219"/>
      <c r="G27" s="113"/>
      <c r="H27" s="219"/>
      <c r="I27" s="219"/>
      <c r="J27" s="219"/>
      <c r="K27" s="219"/>
      <c r="L27" s="186"/>
      <c r="M27" s="219"/>
      <c r="N27" s="219"/>
      <c r="O27" s="219"/>
      <c r="P27" s="219"/>
      <c r="Q27" s="186"/>
      <c r="R27" s="219"/>
      <c r="S27" s="219"/>
      <c r="T27" s="219"/>
      <c r="U27" s="219"/>
      <c r="V27" s="186"/>
    </row>
    <row r="28" spans="2:22" s="9" customFormat="1" ht="15" customHeight="1">
      <c r="B28" s="200" t="s">
        <v>89</v>
      </c>
      <c r="C28" s="211">
        <v>0</v>
      </c>
      <c r="D28" s="211">
        <v>4000</v>
      </c>
      <c r="E28" s="211">
        <v>0</v>
      </c>
      <c r="F28" s="211">
        <v>0</v>
      </c>
      <c r="G28" s="212">
        <f>SUM(C28:F28)</f>
        <v>4000</v>
      </c>
      <c r="H28" s="211">
        <v>0</v>
      </c>
      <c r="I28" s="211">
        <v>0</v>
      </c>
      <c r="J28" s="211">
        <v>0</v>
      </c>
      <c r="K28" s="211">
        <v>0</v>
      </c>
      <c r="L28" s="212">
        <f>SUM(H28:K28)</f>
        <v>0</v>
      </c>
      <c r="M28" s="211">
        <v>0</v>
      </c>
      <c r="N28" s="211">
        <v>0</v>
      </c>
      <c r="O28" s="211">
        <v>0</v>
      </c>
      <c r="P28" s="211">
        <v>0</v>
      </c>
      <c r="Q28" s="212">
        <f>SUM(M28:P28)</f>
        <v>0</v>
      </c>
      <c r="R28" s="211">
        <v>0</v>
      </c>
      <c r="S28" s="211">
        <v>0</v>
      </c>
      <c r="T28" s="211">
        <v>0</v>
      </c>
      <c r="U28" s="211">
        <v>0</v>
      </c>
      <c r="V28" s="212">
        <f>SUM(R28:U28)</f>
        <v>0</v>
      </c>
    </row>
    <row r="29" spans="2:22" s="9" customFormat="1" ht="15" customHeight="1">
      <c r="B29" s="200" t="s">
        <v>174</v>
      </c>
      <c r="C29" s="211">
        <v>-575</v>
      </c>
      <c r="D29" s="211">
        <v>-638</v>
      </c>
      <c r="E29" s="211">
        <v>-507</v>
      </c>
      <c r="F29" s="211">
        <v>-1546</v>
      </c>
      <c r="G29" s="212">
        <f t="shared" ref="G29:G34" si="9">SUM(C29:F29)</f>
        <v>-3266</v>
      </c>
      <c r="H29" s="211">
        <v>-899</v>
      </c>
      <c r="I29" s="211">
        <v>-423</v>
      </c>
      <c r="J29" s="211">
        <v>0</v>
      </c>
      <c r="K29" s="211">
        <v>0</v>
      </c>
      <c r="L29" s="212">
        <f t="shared" ref="L29:L34" si="10">SUM(H29:K29)</f>
        <v>-1322</v>
      </c>
      <c r="M29" s="211">
        <v>0</v>
      </c>
      <c r="N29" s="211">
        <v>0</v>
      </c>
      <c r="O29" s="211">
        <v>0</v>
      </c>
      <c r="P29" s="211">
        <v>0</v>
      </c>
      <c r="Q29" s="212">
        <f t="shared" ref="Q29:Q34" si="11">SUM(M29:P29)</f>
        <v>0</v>
      </c>
      <c r="R29" s="211">
        <v>0</v>
      </c>
      <c r="S29" s="211">
        <v>0</v>
      </c>
      <c r="T29" s="211">
        <v>0</v>
      </c>
      <c r="U29" s="211">
        <v>0</v>
      </c>
      <c r="V29" s="212">
        <f t="shared" ref="V29:V34" si="12">SUM(R29:U29)</f>
        <v>0</v>
      </c>
    </row>
    <row r="30" spans="2:22" s="9" customFormat="1" ht="15" customHeight="1">
      <c r="B30" s="200" t="s">
        <v>88</v>
      </c>
      <c r="C30" s="211">
        <v>-2357</v>
      </c>
      <c r="D30" s="211">
        <v>-330</v>
      </c>
      <c r="E30" s="211">
        <v>-2562</v>
      </c>
      <c r="F30" s="211">
        <v>-4126</v>
      </c>
      <c r="G30" s="212">
        <f t="shared" si="9"/>
        <v>-9375</v>
      </c>
      <c r="H30" s="211">
        <v>-712</v>
      </c>
      <c r="I30" s="211">
        <v>-1323</v>
      </c>
      <c r="J30" s="211">
        <v>-1938</v>
      </c>
      <c r="K30" s="211">
        <v>-3347</v>
      </c>
      <c r="L30" s="212">
        <f t="shared" si="10"/>
        <v>-7320</v>
      </c>
      <c r="M30" s="211">
        <v>-4888</v>
      </c>
      <c r="N30" s="211">
        <v>-2641</v>
      </c>
      <c r="O30" s="211">
        <v>-2773</v>
      </c>
      <c r="P30" s="211">
        <v>-1409</v>
      </c>
      <c r="Q30" s="212">
        <f t="shared" si="11"/>
        <v>-11711</v>
      </c>
      <c r="R30" s="211">
        <v>-832</v>
      </c>
      <c r="S30" s="211">
        <v>-296</v>
      </c>
      <c r="T30" s="211">
        <v>-678</v>
      </c>
      <c r="U30" s="211">
        <v>-376</v>
      </c>
      <c r="V30" s="212">
        <f t="shared" si="12"/>
        <v>-2182</v>
      </c>
    </row>
    <row r="31" spans="2:22" s="9" customFormat="1" ht="15" customHeight="1">
      <c r="B31" s="200" t="s">
        <v>190</v>
      </c>
      <c r="C31" s="211">
        <v>0</v>
      </c>
      <c r="D31" s="211">
        <v>0</v>
      </c>
      <c r="E31" s="211">
        <v>0</v>
      </c>
      <c r="F31" s="211">
        <v>0</v>
      </c>
      <c r="G31" s="212">
        <f t="shared" si="9"/>
        <v>0</v>
      </c>
      <c r="H31" s="211">
        <v>0</v>
      </c>
      <c r="I31" s="211">
        <v>0</v>
      </c>
      <c r="J31" s="211">
        <v>0</v>
      </c>
      <c r="K31" s="211">
        <v>0</v>
      </c>
      <c r="L31" s="212">
        <f t="shared" si="10"/>
        <v>0</v>
      </c>
      <c r="M31" s="211">
        <v>0</v>
      </c>
      <c r="N31" s="211">
        <v>517</v>
      </c>
      <c r="O31" s="211">
        <v>0</v>
      </c>
      <c r="P31" s="211">
        <v>356</v>
      </c>
      <c r="Q31" s="212">
        <f t="shared" si="11"/>
        <v>873</v>
      </c>
      <c r="R31" s="211">
        <v>0</v>
      </c>
      <c r="S31" s="211">
        <v>0</v>
      </c>
      <c r="T31" s="211">
        <v>0</v>
      </c>
      <c r="U31" s="211">
        <v>0</v>
      </c>
      <c r="V31" s="212">
        <f t="shared" si="12"/>
        <v>0</v>
      </c>
    </row>
    <row r="32" spans="2:22" s="9" customFormat="1" ht="15" customHeight="1">
      <c r="B32" s="200" t="s">
        <v>207</v>
      </c>
      <c r="C32" s="211">
        <v>0</v>
      </c>
      <c r="D32" s="211">
        <v>0</v>
      </c>
      <c r="E32" s="211">
        <v>-1000</v>
      </c>
      <c r="F32" s="211">
        <v>0</v>
      </c>
      <c r="G32" s="212">
        <f t="shared" si="9"/>
        <v>-1000</v>
      </c>
      <c r="H32" s="211">
        <v>-2500</v>
      </c>
      <c r="I32" s="211">
        <v>0</v>
      </c>
      <c r="J32" s="211">
        <v>0</v>
      </c>
      <c r="K32" s="211">
        <v>0</v>
      </c>
      <c r="L32" s="212">
        <f t="shared" si="10"/>
        <v>-2500</v>
      </c>
      <c r="M32" s="211">
        <v>0</v>
      </c>
      <c r="N32" s="211">
        <v>0</v>
      </c>
      <c r="O32" s="211">
        <v>0</v>
      </c>
      <c r="P32" s="211">
        <v>0</v>
      </c>
      <c r="Q32" s="212">
        <f t="shared" si="11"/>
        <v>0</v>
      </c>
      <c r="R32" s="211">
        <v>-667</v>
      </c>
      <c r="S32" s="211">
        <v>-1206</v>
      </c>
      <c r="T32" s="211">
        <v>-327</v>
      </c>
      <c r="U32" s="211">
        <v>-4500</v>
      </c>
      <c r="V32" s="212">
        <f t="shared" si="12"/>
        <v>-6700</v>
      </c>
    </row>
    <row r="33" spans="2:22" s="9" customFormat="1" ht="15" customHeight="1">
      <c r="B33" s="200" t="s">
        <v>208</v>
      </c>
      <c r="C33" s="211">
        <v>0</v>
      </c>
      <c r="D33" s="211">
        <v>0</v>
      </c>
      <c r="E33" s="211">
        <v>0</v>
      </c>
      <c r="F33" s="211">
        <v>0</v>
      </c>
      <c r="G33" s="212">
        <f t="shared" si="9"/>
        <v>0</v>
      </c>
      <c r="H33" s="211">
        <v>0</v>
      </c>
      <c r="I33" s="211">
        <v>0</v>
      </c>
      <c r="J33" s="211">
        <v>0</v>
      </c>
      <c r="K33" s="211">
        <v>0</v>
      </c>
      <c r="L33" s="212">
        <f t="shared" si="10"/>
        <v>0</v>
      </c>
      <c r="M33" s="211">
        <v>0</v>
      </c>
      <c r="N33" s="211">
        <v>0</v>
      </c>
      <c r="O33" s="211">
        <v>0</v>
      </c>
      <c r="P33" s="211">
        <v>0</v>
      </c>
      <c r="Q33" s="212">
        <f t="shared" si="11"/>
        <v>0</v>
      </c>
      <c r="R33" s="211">
        <v>0</v>
      </c>
      <c r="S33" s="211">
        <v>0</v>
      </c>
      <c r="T33" s="211">
        <v>-3000</v>
      </c>
      <c r="U33" s="211">
        <v>0</v>
      </c>
      <c r="V33" s="212">
        <f t="shared" si="12"/>
        <v>-3000</v>
      </c>
    </row>
    <row r="34" spans="2:22" s="84" customFormat="1" ht="15" customHeight="1">
      <c r="B34" s="213" t="s">
        <v>175</v>
      </c>
      <c r="C34" s="214">
        <v>0</v>
      </c>
      <c r="D34" s="214">
        <v>0</v>
      </c>
      <c r="E34" s="214">
        <v>0</v>
      </c>
      <c r="F34" s="214">
        <v>-4478</v>
      </c>
      <c r="G34" s="215">
        <f t="shared" si="9"/>
        <v>-4478</v>
      </c>
      <c r="H34" s="214">
        <v>0</v>
      </c>
      <c r="I34" s="214">
        <v>0</v>
      </c>
      <c r="J34" s="214">
        <v>0</v>
      </c>
      <c r="K34" s="214">
        <v>0</v>
      </c>
      <c r="L34" s="215">
        <f t="shared" si="10"/>
        <v>0</v>
      </c>
      <c r="M34" s="214">
        <v>-4479</v>
      </c>
      <c r="N34" s="214">
        <v>-100886</v>
      </c>
      <c r="O34" s="214">
        <v>0</v>
      </c>
      <c r="P34" s="214">
        <v>0</v>
      </c>
      <c r="Q34" s="215">
        <f t="shared" si="11"/>
        <v>-105365</v>
      </c>
      <c r="R34" s="214">
        <v>0</v>
      </c>
      <c r="S34" s="214">
        <v>-2933</v>
      </c>
      <c r="T34" s="214">
        <v>-14815</v>
      </c>
      <c r="U34" s="214">
        <v>-58264</v>
      </c>
      <c r="V34" s="215">
        <f t="shared" si="12"/>
        <v>-76012</v>
      </c>
    </row>
    <row r="35" spans="2:22" s="84" customFormat="1" ht="15" customHeight="1">
      <c r="B35" s="220" t="s">
        <v>164</v>
      </c>
      <c r="C35" s="216">
        <f>SUM(C28:C34)</f>
        <v>-2932</v>
      </c>
      <c r="D35" s="216">
        <f t="shared" ref="D35:F35" si="13">SUM(D28:D34)</f>
        <v>3032</v>
      </c>
      <c r="E35" s="216">
        <f t="shared" si="13"/>
        <v>-4069</v>
      </c>
      <c r="F35" s="216">
        <f t="shared" si="13"/>
        <v>-10150</v>
      </c>
      <c r="G35" s="217">
        <f>SUM(G28:G34)</f>
        <v>-14119</v>
      </c>
      <c r="H35" s="216">
        <f>SUM(H28:H34)</f>
        <v>-4111</v>
      </c>
      <c r="I35" s="216">
        <f t="shared" ref="I35" si="14">SUM(I28:I34)</f>
        <v>-1746</v>
      </c>
      <c r="J35" s="216">
        <f t="shared" ref="J35" si="15">SUM(J28:J34)</f>
        <v>-1938</v>
      </c>
      <c r="K35" s="216">
        <f t="shared" ref="K35" si="16">SUM(K28:K34)</f>
        <v>-3347</v>
      </c>
      <c r="L35" s="217">
        <f>SUM(L28:L34)</f>
        <v>-11142</v>
      </c>
      <c r="M35" s="216">
        <f>SUM(M28:M34)</f>
        <v>-9367</v>
      </c>
      <c r="N35" s="216">
        <f t="shared" ref="N35:P35" si="17">SUM(N28:N34)</f>
        <v>-103010</v>
      </c>
      <c r="O35" s="216">
        <f t="shared" si="17"/>
        <v>-2773</v>
      </c>
      <c r="P35" s="216">
        <f t="shared" si="17"/>
        <v>-1053</v>
      </c>
      <c r="Q35" s="217">
        <f>SUM(Q28:Q34)</f>
        <v>-116203</v>
      </c>
      <c r="R35" s="216">
        <f>SUM(R28:R34)</f>
        <v>-1499</v>
      </c>
      <c r="S35" s="216">
        <f t="shared" ref="S35:T35" si="18">SUM(S28:S34)</f>
        <v>-4435</v>
      </c>
      <c r="T35" s="216">
        <f t="shared" si="18"/>
        <v>-18820</v>
      </c>
      <c r="U35" s="216">
        <f t="shared" ref="U35" si="19">SUM(U28:U34)</f>
        <v>-63140</v>
      </c>
      <c r="V35" s="217">
        <f>SUM(V28:V34)</f>
        <v>-87894</v>
      </c>
    </row>
    <row r="36" spans="2:22" s="84" customFormat="1" ht="15" customHeight="1">
      <c r="B36" s="207"/>
      <c r="C36" s="221"/>
      <c r="D36" s="221"/>
      <c r="E36" s="221"/>
      <c r="F36" s="221"/>
      <c r="G36" s="222"/>
      <c r="H36" s="221"/>
      <c r="I36" s="221"/>
      <c r="J36" s="221"/>
      <c r="K36" s="221"/>
      <c r="L36" s="222"/>
      <c r="M36" s="221"/>
      <c r="N36" s="221"/>
      <c r="O36" s="221"/>
      <c r="P36" s="221"/>
      <c r="Q36" s="222"/>
      <c r="R36" s="221"/>
      <c r="S36" s="221"/>
      <c r="T36" s="221"/>
      <c r="U36" s="221"/>
      <c r="V36" s="222"/>
    </row>
    <row r="37" spans="2:22" s="9" customFormat="1" ht="15" customHeight="1">
      <c r="B37" s="207" t="s">
        <v>62</v>
      </c>
      <c r="C37" s="219"/>
      <c r="D37" s="219"/>
      <c r="E37" s="219"/>
      <c r="F37" s="219"/>
      <c r="G37" s="113"/>
      <c r="H37" s="219"/>
      <c r="I37" s="219"/>
      <c r="J37" s="219"/>
      <c r="K37" s="219"/>
      <c r="L37" s="186"/>
      <c r="M37" s="219"/>
      <c r="N37" s="219"/>
      <c r="O37" s="219"/>
      <c r="P37" s="219"/>
      <c r="Q37" s="186"/>
      <c r="R37" s="219"/>
      <c r="S37" s="219"/>
      <c r="T37" s="219"/>
      <c r="U37" s="219"/>
      <c r="V37" s="186"/>
    </row>
    <row r="38" spans="2:22" s="9" customFormat="1" ht="15" customHeight="1">
      <c r="B38" s="200" t="s">
        <v>76</v>
      </c>
      <c r="C38" s="211">
        <v>230000</v>
      </c>
      <c r="D38" s="211">
        <v>0</v>
      </c>
      <c r="E38" s="211">
        <v>0</v>
      </c>
      <c r="F38" s="211">
        <v>0</v>
      </c>
      <c r="G38" s="212">
        <f t="shared" ref="G38:G43" si="20">SUM(C38:F38)</f>
        <v>230000</v>
      </c>
      <c r="H38" s="211">
        <v>0</v>
      </c>
      <c r="I38" s="211">
        <v>0</v>
      </c>
      <c r="J38" s="211">
        <v>0</v>
      </c>
      <c r="K38" s="211">
        <v>0</v>
      </c>
      <c r="L38" s="212">
        <f t="shared" ref="L38:L43" si="21">SUM(H38:K38)</f>
        <v>0</v>
      </c>
      <c r="M38" s="211">
        <v>0</v>
      </c>
      <c r="N38" s="211">
        <v>0</v>
      </c>
      <c r="O38" s="211">
        <v>0</v>
      </c>
      <c r="P38" s="211">
        <v>0</v>
      </c>
      <c r="Q38" s="212">
        <f t="shared" ref="Q38:Q43" si="22">SUM(M38:P38)</f>
        <v>0</v>
      </c>
      <c r="R38" s="211">
        <v>0</v>
      </c>
      <c r="S38" s="211">
        <v>0</v>
      </c>
      <c r="T38" s="211">
        <v>0</v>
      </c>
      <c r="U38" s="211">
        <v>0</v>
      </c>
      <c r="V38" s="212">
        <f t="shared" ref="V38:V43" si="23">SUM(R38:U38)</f>
        <v>0</v>
      </c>
    </row>
    <row r="39" spans="2:22" s="9" customFormat="1" ht="15" customHeight="1">
      <c r="B39" s="200" t="s">
        <v>77</v>
      </c>
      <c r="C39" s="211">
        <v>-225572</v>
      </c>
      <c r="D39" s="211">
        <v>-578</v>
      </c>
      <c r="E39" s="211">
        <v>-582</v>
      </c>
      <c r="F39" s="211">
        <v>-588</v>
      </c>
      <c r="G39" s="212">
        <f t="shared" si="20"/>
        <v>-227320</v>
      </c>
      <c r="H39" s="223">
        <v>-592</v>
      </c>
      <c r="I39" s="211">
        <v>-2701</v>
      </c>
      <c r="J39" s="211">
        <v>-230000</v>
      </c>
      <c r="K39" s="211">
        <v>0</v>
      </c>
      <c r="L39" s="212">
        <f t="shared" si="21"/>
        <v>-233293</v>
      </c>
      <c r="M39" s="223">
        <v>0</v>
      </c>
      <c r="N39" s="211">
        <v>0</v>
      </c>
      <c r="O39" s="211">
        <v>0</v>
      </c>
      <c r="P39" s="211">
        <v>0</v>
      </c>
      <c r="Q39" s="212">
        <f t="shared" si="22"/>
        <v>0</v>
      </c>
      <c r="R39" s="223">
        <v>0</v>
      </c>
      <c r="S39" s="211">
        <v>0</v>
      </c>
      <c r="T39" s="211">
        <v>0</v>
      </c>
      <c r="U39" s="211">
        <v>0</v>
      </c>
      <c r="V39" s="212">
        <f t="shared" si="23"/>
        <v>0</v>
      </c>
    </row>
    <row r="40" spans="2:22" s="9" customFormat="1" ht="15" customHeight="1">
      <c r="B40" s="224" t="s">
        <v>176</v>
      </c>
      <c r="C40" s="211">
        <v>-4001</v>
      </c>
      <c r="D40" s="211">
        <v>0</v>
      </c>
      <c r="E40" s="211">
        <v>0</v>
      </c>
      <c r="F40" s="211">
        <v>0</v>
      </c>
      <c r="G40" s="212">
        <f t="shared" si="20"/>
        <v>-4001</v>
      </c>
      <c r="H40" s="211">
        <v>-300</v>
      </c>
      <c r="I40" s="211">
        <v>0</v>
      </c>
      <c r="J40" s="211">
        <v>0</v>
      </c>
      <c r="K40" s="211">
        <v>0</v>
      </c>
      <c r="L40" s="212">
        <f t="shared" si="21"/>
        <v>-300</v>
      </c>
      <c r="M40" s="211">
        <v>0</v>
      </c>
      <c r="N40" s="211">
        <v>0</v>
      </c>
      <c r="O40" s="211">
        <v>0</v>
      </c>
      <c r="P40" s="211">
        <v>0</v>
      </c>
      <c r="Q40" s="212">
        <f t="shared" si="22"/>
        <v>0</v>
      </c>
      <c r="R40" s="211">
        <v>0</v>
      </c>
      <c r="S40" s="211">
        <v>0</v>
      </c>
      <c r="T40" s="211">
        <v>0</v>
      </c>
      <c r="U40" s="211">
        <v>0</v>
      </c>
      <c r="V40" s="212">
        <f t="shared" si="23"/>
        <v>0</v>
      </c>
    </row>
    <row r="41" spans="2:22" s="9" customFormat="1" ht="30.75" customHeight="1">
      <c r="B41" s="225" t="s">
        <v>177</v>
      </c>
      <c r="C41" s="211">
        <v>4764</v>
      </c>
      <c r="D41" s="211">
        <v>6900</v>
      </c>
      <c r="E41" s="211">
        <v>3645</v>
      </c>
      <c r="F41" s="211">
        <v>4418</v>
      </c>
      <c r="G41" s="212">
        <f t="shared" si="20"/>
        <v>19727</v>
      </c>
      <c r="H41" s="211">
        <v>4116</v>
      </c>
      <c r="I41" s="211">
        <v>4005</v>
      </c>
      <c r="J41" s="211">
        <v>9234</v>
      </c>
      <c r="K41" s="211">
        <v>3064</v>
      </c>
      <c r="L41" s="212">
        <f t="shared" si="21"/>
        <v>20419</v>
      </c>
      <c r="M41" s="211">
        <v>1060</v>
      </c>
      <c r="N41" s="211">
        <v>1032</v>
      </c>
      <c r="O41" s="211">
        <v>1313</v>
      </c>
      <c r="P41" s="211">
        <v>1331</v>
      </c>
      <c r="Q41" s="212">
        <f t="shared" si="22"/>
        <v>4736</v>
      </c>
      <c r="R41" s="211">
        <v>1137</v>
      </c>
      <c r="S41" s="211">
        <v>2424</v>
      </c>
      <c r="T41" s="211">
        <v>5115</v>
      </c>
      <c r="U41" s="211">
        <v>61</v>
      </c>
      <c r="V41" s="212">
        <f t="shared" si="23"/>
        <v>8737</v>
      </c>
    </row>
    <row r="42" spans="2:22" s="9" customFormat="1" ht="15" customHeight="1">
      <c r="B42" s="224" t="s">
        <v>169</v>
      </c>
      <c r="C42" s="211">
        <v>0</v>
      </c>
      <c r="D42" s="211">
        <v>-19776</v>
      </c>
      <c r="E42" s="211">
        <v>-19665</v>
      </c>
      <c r="F42" s="211">
        <v>-49443</v>
      </c>
      <c r="G42" s="212">
        <f t="shared" si="20"/>
        <v>-88884</v>
      </c>
      <c r="H42" s="211">
        <v>-45766</v>
      </c>
      <c r="I42" s="211">
        <v>0</v>
      </c>
      <c r="J42" s="211">
        <v>-521734</v>
      </c>
      <c r="K42" s="211">
        <v>-10314</v>
      </c>
      <c r="L42" s="212">
        <f t="shared" si="21"/>
        <v>-577814</v>
      </c>
      <c r="M42" s="211">
        <v>-20099</v>
      </c>
      <c r="N42" s="211">
        <v>-80374</v>
      </c>
      <c r="O42" s="211">
        <v>-20715</v>
      </c>
      <c r="P42" s="211">
        <v>-6465</v>
      </c>
      <c r="Q42" s="212">
        <f t="shared" si="22"/>
        <v>-127653</v>
      </c>
      <c r="R42" s="211">
        <v>-1827</v>
      </c>
      <c r="S42" s="211">
        <v>-3928</v>
      </c>
      <c r="T42" s="211">
        <v>-3627</v>
      </c>
      <c r="U42" s="211">
        <v>-538</v>
      </c>
      <c r="V42" s="212">
        <f t="shared" si="23"/>
        <v>-9920</v>
      </c>
    </row>
    <row r="43" spans="2:22" s="227" customFormat="1" ht="30" customHeight="1">
      <c r="B43" s="226" t="s">
        <v>178</v>
      </c>
      <c r="C43" s="214">
        <v>-7303</v>
      </c>
      <c r="D43" s="214">
        <v>-666</v>
      </c>
      <c r="E43" s="214">
        <v>-2233</v>
      </c>
      <c r="F43" s="214">
        <v>-860</v>
      </c>
      <c r="G43" s="215">
        <f t="shared" si="20"/>
        <v>-11062</v>
      </c>
      <c r="H43" s="214">
        <v>-10044</v>
      </c>
      <c r="I43" s="214">
        <v>-4580</v>
      </c>
      <c r="J43" s="214">
        <v>-22282</v>
      </c>
      <c r="K43" s="214">
        <v>-13614</v>
      </c>
      <c r="L43" s="215">
        <f t="shared" si="21"/>
        <v>-50520</v>
      </c>
      <c r="M43" s="214">
        <v>-12093</v>
      </c>
      <c r="N43" s="214">
        <v>-1814</v>
      </c>
      <c r="O43" s="214">
        <v>-4150</v>
      </c>
      <c r="P43" s="214">
        <v>-61002</v>
      </c>
      <c r="Q43" s="215">
        <f t="shared" si="22"/>
        <v>-79059</v>
      </c>
      <c r="R43" s="214">
        <v>-42312</v>
      </c>
      <c r="S43" s="214">
        <v>0</v>
      </c>
      <c r="T43" s="214">
        <v>0</v>
      </c>
      <c r="U43" s="214">
        <v>0</v>
      </c>
      <c r="V43" s="215">
        <f t="shared" si="23"/>
        <v>-42312</v>
      </c>
    </row>
    <row r="44" spans="2:22" s="9" customFormat="1" ht="15" customHeight="1">
      <c r="B44" s="220" t="s">
        <v>209</v>
      </c>
      <c r="C44" s="216">
        <f t="shared" ref="C44:L44" si="24">SUM(C38:C43)</f>
        <v>-2112</v>
      </c>
      <c r="D44" s="216">
        <f t="shared" si="24"/>
        <v>-14120</v>
      </c>
      <c r="E44" s="216">
        <f t="shared" si="24"/>
        <v>-18835</v>
      </c>
      <c r="F44" s="216">
        <f t="shared" si="24"/>
        <v>-46473</v>
      </c>
      <c r="G44" s="217">
        <f t="shared" si="24"/>
        <v>-81540</v>
      </c>
      <c r="H44" s="216">
        <f t="shared" si="24"/>
        <v>-52586</v>
      </c>
      <c r="I44" s="216">
        <f t="shared" si="24"/>
        <v>-3276</v>
      </c>
      <c r="J44" s="216">
        <f t="shared" si="24"/>
        <v>-764782</v>
      </c>
      <c r="K44" s="216">
        <f t="shared" si="24"/>
        <v>-20864</v>
      </c>
      <c r="L44" s="217">
        <f t="shared" si="24"/>
        <v>-841508</v>
      </c>
      <c r="M44" s="216">
        <f t="shared" ref="M44" si="25">SUM(M38:M43)</f>
        <v>-31132</v>
      </c>
      <c r="N44" s="216">
        <f t="shared" ref="N44:R44" si="26">SUM(N38:N43)</f>
        <v>-81156</v>
      </c>
      <c r="O44" s="216">
        <f t="shared" si="26"/>
        <v>-23552</v>
      </c>
      <c r="P44" s="216">
        <f t="shared" si="26"/>
        <v>-66136</v>
      </c>
      <c r="Q44" s="217">
        <f t="shared" si="26"/>
        <v>-201976</v>
      </c>
      <c r="R44" s="216">
        <f t="shared" si="26"/>
        <v>-43002</v>
      </c>
      <c r="S44" s="216">
        <f t="shared" ref="S44:T44" si="27">SUM(S38:S43)</f>
        <v>-1504</v>
      </c>
      <c r="T44" s="216">
        <f t="shared" si="27"/>
        <v>1488</v>
      </c>
      <c r="U44" s="216">
        <f t="shared" ref="U44:V44" si="28">SUM(U38:U43)</f>
        <v>-477</v>
      </c>
      <c r="V44" s="217">
        <f t="shared" si="28"/>
        <v>-43495</v>
      </c>
    </row>
    <row r="45" spans="2:22" s="9" customFormat="1" ht="15" customHeight="1">
      <c r="B45" s="224"/>
      <c r="C45" s="218"/>
      <c r="D45" s="218"/>
      <c r="E45" s="218"/>
      <c r="F45" s="218"/>
      <c r="G45" s="186"/>
      <c r="H45" s="218"/>
      <c r="I45" s="218"/>
      <c r="J45" s="218"/>
      <c r="K45" s="218"/>
      <c r="L45" s="186"/>
      <c r="M45" s="218"/>
      <c r="N45" s="218"/>
      <c r="O45" s="218"/>
      <c r="P45" s="218"/>
      <c r="Q45" s="186"/>
      <c r="R45" s="218"/>
      <c r="S45" s="218"/>
      <c r="T45" s="218"/>
      <c r="U45" s="218"/>
      <c r="V45" s="186"/>
    </row>
    <row r="46" spans="2:22" s="9" customFormat="1" ht="15" customHeight="1">
      <c r="B46" s="220" t="s">
        <v>63</v>
      </c>
      <c r="C46" s="228"/>
      <c r="D46" s="228"/>
      <c r="E46" s="228"/>
      <c r="F46" s="228"/>
      <c r="G46" s="179"/>
      <c r="H46" s="218"/>
      <c r="I46" s="228"/>
      <c r="J46" s="228"/>
      <c r="K46" s="228"/>
      <c r="L46" s="179"/>
      <c r="M46" s="218"/>
      <c r="N46" s="228"/>
      <c r="O46" s="228"/>
      <c r="P46" s="228"/>
      <c r="Q46" s="179"/>
      <c r="R46" s="218"/>
      <c r="S46" s="228"/>
      <c r="T46" s="228"/>
      <c r="U46" s="228"/>
      <c r="V46" s="179"/>
    </row>
    <row r="47" spans="2:22" s="9" customFormat="1" ht="15" customHeight="1">
      <c r="B47" s="224" t="s">
        <v>64</v>
      </c>
      <c r="C47" s="223">
        <v>16463</v>
      </c>
      <c r="D47" s="223">
        <v>35656</v>
      </c>
      <c r="E47" s="223">
        <v>29250</v>
      </c>
      <c r="F47" s="223">
        <v>44276</v>
      </c>
      <c r="G47" s="229">
        <f>SUM(C47:F47)</f>
        <v>125645</v>
      </c>
      <c r="H47" s="223">
        <v>20181</v>
      </c>
      <c r="I47" s="223">
        <v>34135</v>
      </c>
      <c r="J47" s="223">
        <v>-13336</v>
      </c>
      <c r="K47" s="223">
        <v>-499505</v>
      </c>
      <c r="L47" s="229">
        <f>SUM(H47:K47)</f>
        <v>-458525</v>
      </c>
      <c r="M47" s="223">
        <v>0</v>
      </c>
      <c r="N47" s="223">
        <v>0</v>
      </c>
      <c r="O47" s="223">
        <v>0</v>
      </c>
      <c r="P47" s="223">
        <v>-207</v>
      </c>
      <c r="Q47" s="229">
        <f>SUM(M47:P47)</f>
        <v>-207</v>
      </c>
      <c r="R47" s="223">
        <v>0</v>
      </c>
      <c r="S47" s="223">
        <v>0</v>
      </c>
      <c r="T47" s="223">
        <v>0</v>
      </c>
      <c r="U47" s="223">
        <v>0</v>
      </c>
      <c r="V47" s="229">
        <f>SUM(R47:U47)</f>
        <v>0</v>
      </c>
    </row>
    <row r="48" spans="2:22" s="9" customFormat="1" ht="15" customHeight="1">
      <c r="B48" s="224" t="s">
        <v>65</v>
      </c>
      <c r="C48" s="211">
        <v>-7534</v>
      </c>
      <c r="D48" s="211">
        <v>-10651</v>
      </c>
      <c r="E48" s="211">
        <v>-12749</v>
      </c>
      <c r="F48" s="211">
        <v>-15268</v>
      </c>
      <c r="G48" s="229">
        <f t="shared" ref="G48:G49" si="29">SUM(C48:F48)</f>
        <v>-46202</v>
      </c>
      <c r="H48" s="211">
        <v>-6573</v>
      </c>
      <c r="I48" s="211">
        <v>-7929</v>
      </c>
      <c r="J48" s="211">
        <v>2251032</v>
      </c>
      <c r="K48" s="211">
        <v>0</v>
      </c>
      <c r="L48" s="229">
        <f t="shared" ref="L48:L49" si="30">SUM(H48:K48)</f>
        <v>2236530</v>
      </c>
      <c r="M48" s="223">
        <v>0</v>
      </c>
      <c r="N48" s="223">
        <v>0</v>
      </c>
      <c r="O48" s="223">
        <v>0</v>
      </c>
      <c r="P48" s="211">
        <v>18582</v>
      </c>
      <c r="Q48" s="229">
        <f t="shared" ref="Q48:Q49" si="31">SUM(M48:P48)</f>
        <v>18582</v>
      </c>
      <c r="R48" s="223">
        <v>0</v>
      </c>
      <c r="S48" s="223">
        <v>0</v>
      </c>
      <c r="T48" s="223">
        <v>0</v>
      </c>
      <c r="U48" s="223">
        <v>0</v>
      </c>
      <c r="V48" s="229">
        <f t="shared" ref="V48:V49" si="32">SUM(R48:U48)</f>
        <v>0</v>
      </c>
    </row>
    <row r="49" spans="2:22" s="9" customFormat="1" ht="15" customHeight="1">
      <c r="B49" s="213" t="s">
        <v>66</v>
      </c>
      <c r="C49" s="230">
        <v>99</v>
      </c>
      <c r="D49" s="230">
        <v>12</v>
      </c>
      <c r="E49" s="230">
        <v>64</v>
      </c>
      <c r="F49" s="230">
        <v>31</v>
      </c>
      <c r="G49" s="231">
        <f t="shared" si="29"/>
        <v>206</v>
      </c>
      <c r="H49" s="230">
        <v>-167</v>
      </c>
      <c r="I49" s="230">
        <v>-5</v>
      </c>
      <c r="J49" s="230">
        <v>0</v>
      </c>
      <c r="K49" s="230">
        <v>0</v>
      </c>
      <c r="L49" s="231">
        <f t="shared" si="30"/>
        <v>-172</v>
      </c>
      <c r="M49" s="230">
        <v>0</v>
      </c>
      <c r="N49" s="230">
        <v>0</v>
      </c>
      <c r="O49" s="230">
        <v>0</v>
      </c>
      <c r="P49" s="230">
        <v>0</v>
      </c>
      <c r="Q49" s="231">
        <f t="shared" si="31"/>
        <v>0</v>
      </c>
      <c r="R49" s="230">
        <v>0</v>
      </c>
      <c r="S49" s="230">
        <v>0</v>
      </c>
      <c r="T49" s="230">
        <v>0</v>
      </c>
      <c r="U49" s="230">
        <v>0</v>
      </c>
      <c r="V49" s="231">
        <f t="shared" si="32"/>
        <v>0</v>
      </c>
    </row>
    <row r="50" spans="2:22" s="84" customFormat="1" ht="15" customHeight="1">
      <c r="B50" s="207" t="s">
        <v>165</v>
      </c>
      <c r="C50" s="216">
        <f t="shared" ref="C50:L50" si="33">SUM(C47:C49)</f>
        <v>9028</v>
      </c>
      <c r="D50" s="216">
        <f t="shared" si="33"/>
        <v>25017</v>
      </c>
      <c r="E50" s="216">
        <f t="shared" si="33"/>
        <v>16565</v>
      </c>
      <c r="F50" s="216">
        <f t="shared" si="33"/>
        <v>29039</v>
      </c>
      <c r="G50" s="217">
        <f t="shared" si="33"/>
        <v>79649</v>
      </c>
      <c r="H50" s="216">
        <f t="shared" si="33"/>
        <v>13441</v>
      </c>
      <c r="I50" s="216">
        <f t="shared" si="33"/>
        <v>26201</v>
      </c>
      <c r="J50" s="216">
        <f t="shared" si="33"/>
        <v>2237696</v>
      </c>
      <c r="K50" s="216">
        <f t="shared" si="33"/>
        <v>-499505</v>
      </c>
      <c r="L50" s="217">
        <f t="shared" si="33"/>
        <v>1777833</v>
      </c>
      <c r="M50" s="232">
        <f t="shared" ref="M50" si="34">SUM(M47:M49)</f>
        <v>0</v>
      </c>
      <c r="N50" s="232">
        <f t="shared" ref="N50:R50" si="35">SUM(N47:N49)</f>
        <v>0</v>
      </c>
      <c r="O50" s="232">
        <f t="shared" si="35"/>
        <v>0</v>
      </c>
      <c r="P50" s="216">
        <f t="shared" si="35"/>
        <v>18375</v>
      </c>
      <c r="Q50" s="217">
        <f t="shared" si="35"/>
        <v>18375</v>
      </c>
      <c r="R50" s="232">
        <f t="shared" si="35"/>
        <v>0</v>
      </c>
      <c r="S50" s="232">
        <f t="shared" ref="S50:T50" si="36">SUM(S47:S49)</f>
        <v>0</v>
      </c>
      <c r="T50" s="232">
        <f t="shared" si="36"/>
        <v>0</v>
      </c>
      <c r="U50" s="232">
        <f t="shared" ref="U50:V50" si="37">SUM(U47:U49)</f>
        <v>0</v>
      </c>
      <c r="V50" s="217">
        <f t="shared" si="37"/>
        <v>0</v>
      </c>
    </row>
    <row r="51" spans="2:22" s="84" customFormat="1" ht="15" customHeight="1">
      <c r="B51" s="200"/>
      <c r="C51" s="219"/>
      <c r="D51" s="219"/>
      <c r="E51" s="219"/>
      <c r="F51" s="219"/>
      <c r="G51" s="113"/>
      <c r="H51" s="219"/>
      <c r="I51" s="219"/>
      <c r="J51" s="219"/>
      <c r="K51" s="219"/>
      <c r="L51" s="113"/>
      <c r="M51" s="219"/>
      <c r="N51" s="219"/>
      <c r="O51" s="219"/>
      <c r="P51" s="219"/>
      <c r="Q51" s="113"/>
      <c r="R51" s="219"/>
      <c r="S51" s="219"/>
      <c r="T51" s="219"/>
      <c r="U51" s="219"/>
      <c r="V51" s="113"/>
    </row>
    <row r="52" spans="2:22" s="9" customFormat="1" ht="15" customHeight="1">
      <c r="B52" s="233" t="s">
        <v>87</v>
      </c>
      <c r="C52" s="211">
        <v>331</v>
      </c>
      <c r="D52" s="211">
        <v>278</v>
      </c>
      <c r="E52" s="211">
        <v>259</v>
      </c>
      <c r="F52" s="211">
        <v>570</v>
      </c>
      <c r="G52" s="212">
        <f>SUM(C52:F52)</f>
        <v>1438</v>
      </c>
      <c r="H52" s="211">
        <v>-927</v>
      </c>
      <c r="I52" s="211">
        <v>-557</v>
      </c>
      <c r="J52" s="211">
        <v>-327</v>
      </c>
      <c r="K52" s="211">
        <v>61</v>
      </c>
      <c r="L52" s="212">
        <f>SUM(H52:K52)</f>
        <v>-1750</v>
      </c>
      <c r="M52" s="211">
        <v>-89</v>
      </c>
      <c r="N52" s="211">
        <v>-302</v>
      </c>
      <c r="O52" s="211">
        <v>278</v>
      </c>
      <c r="P52" s="211">
        <v>-355</v>
      </c>
      <c r="Q52" s="212">
        <f>SUM(M52:P52)</f>
        <v>-468</v>
      </c>
      <c r="R52" s="211">
        <v>197</v>
      </c>
      <c r="S52" s="211">
        <v>486</v>
      </c>
      <c r="T52" s="211">
        <v>537</v>
      </c>
      <c r="U52" s="211">
        <v>-210</v>
      </c>
      <c r="V52" s="212">
        <f>SUM(R52:U52)</f>
        <v>1010</v>
      </c>
    </row>
    <row r="53" spans="2:22" s="9" customFormat="1" ht="15" customHeight="1">
      <c r="B53" s="200"/>
      <c r="C53" s="223"/>
      <c r="D53" s="223"/>
      <c r="E53" s="223"/>
      <c r="F53" s="223"/>
      <c r="G53" s="229"/>
      <c r="H53" s="223"/>
      <c r="I53" s="223"/>
      <c r="J53" s="223"/>
      <c r="K53" s="223"/>
      <c r="L53" s="229"/>
      <c r="M53" s="223"/>
      <c r="N53" s="223"/>
      <c r="O53" s="223"/>
      <c r="P53" s="223"/>
      <c r="Q53" s="229"/>
      <c r="R53" s="223"/>
      <c r="S53" s="223"/>
      <c r="T53" s="223"/>
      <c r="U53" s="223"/>
      <c r="V53" s="229"/>
    </row>
    <row r="54" spans="2:22" s="9" customFormat="1" ht="15" customHeight="1">
      <c r="B54" s="200" t="s">
        <v>191</v>
      </c>
      <c r="C54" s="223">
        <f>C25+C35+C44+C50+C52</f>
        <v>-6507</v>
      </c>
      <c r="D54" s="223">
        <v>6178</v>
      </c>
      <c r="E54" s="223">
        <v>8016</v>
      </c>
      <c r="F54" s="223">
        <v>-36349</v>
      </c>
      <c r="G54" s="212">
        <f>SUM(C54:F54)</f>
        <v>-28662</v>
      </c>
      <c r="H54" s="223">
        <v>-46463</v>
      </c>
      <c r="I54" s="223">
        <v>-6508</v>
      </c>
      <c r="J54" s="223">
        <v>1459727</v>
      </c>
      <c r="K54" s="223">
        <v>-485301</v>
      </c>
      <c r="L54" s="212">
        <f>SUM(H54:K54)</f>
        <v>921455</v>
      </c>
      <c r="M54" s="223">
        <f>M25+M35+M44+M50+M52</f>
        <v>-55996</v>
      </c>
      <c r="N54" s="223">
        <f>N25+N35+N44+N50+N52</f>
        <v>-213219</v>
      </c>
      <c r="O54" s="223">
        <f>O25+O35+O44+O50+O52</f>
        <v>-10243</v>
      </c>
      <c r="P54" s="223">
        <f>P25+P35+P44+P50+P52</f>
        <v>-49389</v>
      </c>
      <c r="Q54" s="212">
        <f>SUM(M54:P54)</f>
        <v>-328847</v>
      </c>
      <c r="R54" s="223">
        <f>R25+R35+R44+R50+R52</f>
        <v>-67916</v>
      </c>
      <c r="S54" s="223">
        <f>S25+S35+S44+S50+S52</f>
        <v>796</v>
      </c>
      <c r="T54" s="223">
        <f>T25+T35+T44+T50+T52</f>
        <v>-2105</v>
      </c>
      <c r="U54" s="223">
        <f>U25+U35+U44+U50+U52</f>
        <v>-81714</v>
      </c>
      <c r="V54" s="212">
        <f>SUM(R54:U54)</f>
        <v>-150939</v>
      </c>
    </row>
    <row r="55" spans="2:22" s="9" customFormat="1" ht="15" customHeight="1">
      <c r="B55" s="213" t="s">
        <v>192</v>
      </c>
      <c r="C55" s="230">
        <v>168680</v>
      </c>
      <c r="D55" s="230">
        <v>162173</v>
      </c>
      <c r="E55" s="230">
        <v>168352</v>
      </c>
      <c r="F55" s="230">
        <v>176367</v>
      </c>
      <c r="G55" s="231">
        <v>168680</v>
      </c>
      <c r="H55" s="230">
        <v>140018</v>
      </c>
      <c r="I55" s="230">
        <v>93555</v>
      </c>
      <c r="J55" s="230">
        <v>87047</v>
      </c>
      <c r="K55" s="230">
        <v>1546774</v>
      </c>
      <c r="L55" s="231">
        <v>140018</v>
      </c>
      <c r="M55" s="230">
        <v>1061473</v>
      </c>
      <c r="N55" s="164">
        <f>M56</f>
        <v>1005477</v>
      </c>
      <c r="O55" s="164">
        <f>N56</f>
        <v>792258</v>
      </c>
      <c r="P55" s="164">
        <f>O56</f>
        <v>782015</v>
      </c>
      <c r="Q55" s="183">
        <f>L56</f>
        <v>1061473</v>
      </c>
      <c r="R55" s="283">
        <f>P56</f>
        <v>732626</v>
      </c>
      <c r="S55" s="164">
        <f>R56</f>
        <v>664710</v>
      </c>
      <c r="T55" s="164">
        <f>S56</f>
        <v>665506</v>
      </c>
      <c r="U55" s="164">
        <f>T56</f>
        <v>663401</v>
      </c>
      <c r="V55" s="183">
        <f>Q56</f>
        <v>732626</v>
      </c>
    </row>
    <row r="56" spans="2:22" s="84" customFormat="1" ht="15" customHeight="1">
      <c r="B56" s="207" t="s">
        <v>193</v>
      </c>
      <c r="C56" s="208">
        <f t="shared" ref="C56:N56" si="38">C54+C55</f>
        <v>162173</v>
      </c>
      <c r="D56" s="208">
        <f t="shared" si="38"/>
        <v>168351</v>
      </c>
      <c r="E56" s="208">
        <f t="shared" si="38"/>
        <v>176368</v>
      </c>
      <c r="F56" s="208">
        <f t="shared" si="38"/>
        <v>140018</v>
      </c>
      <c r="G56" s="209">
        <f t="shared" si="38"/>
        <v>140018</v>
      </c>
      <c r="H56" s="208">
        <f t="shared" si="38"/>
        <v>93555</v>
      </c>
      <c r="I56" s="208">
        <f t="shared" si="38"/>
        <v>87047</v>
      </c>
      <c r="J56" s="208">
        <f t="shared" si="38"/>
        <v>1546774</v>
      </c>
      <c r="K56" s="208">
        <f t="shared" si="38"/>
        <v>1061473</v>
      </c>
      <c r="L56" s="209">
        <f t="shared" si="38"/>
        <v>1061473</v>
      </c>
      <c r="M56" s="208">
        <f t="shared" si="38"/>
        <v>1005477</v>
      </c>
      <c r="N56" s="208">
        <f t="shared" si="38"/>
        <v>792258</v>
      </c>
      <c r="O56" s="208">
        <f t="shared" ref="O56:S56" si="39">O54+O55</f>
        <v>782015</v>
      </c>
      <c r="P56" s="208">
        <f t="shared" si="39"/>
        <v>732626</v>
      </c>
      <c r="Q56" s="209">
        <f t="shared" si="39"/>
        <v>732626</v>
      </c>
      <c r="R56" s="208">
        <f t="shared" si="39"/>
        <v>664710</v>
      </c>
      <c r="S56" s="208">
        <f t="shared" si="39"/>
        <v>665506</v>
      </c>
      <c r="T56" s="208">
        <f t="shared" ref="T56:V56" si="40">T54+T55</f>
        <v>663401</v>
      </c>
      <c r="U56" s="208">
        <f t="shared" si="40"/>
        <v>581687</v>
      </c>
      <c r="V56" s="209">
        <f t="shared" si="40"/>
        <v>581687</v>
      </c>
    </row>
    <row r="57" spans="2:22" s="9" customFormat="1" ht="15" customHeight="1">
      <c r="C57" s="110"/>
      <c r="D57" s="110"/>
      <c r="E57" s="110"/>
      <c r="F57" s="110"/>
      <c r="G57" s="134"/>
      <c r="H57" s="110"/>
      <c r="I57" s="110"/>
      <c r="J57" s="110"/>
      <c r="K57" s="110"/>
      <c r="L57" s="134"/>
      <c r="M57" s="110"/>
      <c r="N57" s="110"/>
      <c r="O57" s="110"/>
      <c r="P57" s="110"/>
      <c r="Q57" s="134"/>
      <c r="R57" s="110"/>
      <c r="S57" s="110"/>
      <c r="T57" s="110"/>
      <c r="U57" s="110"/>
      <c r="V57" s="134"/>
    </row>
    <row r="58" spans="2:22" ht="15" customHeight="1">
      <c r="C58" s="112"/>
      <c r="D58" s="112"/>
      <c r="E58" s="112"/>
    </row>
  </sheetData>
  <hyperlinks>
    <hyperlink ref="C4" location="Cover!A1" display="Back to Main" xr:uid="{05EAF71E-CB52-4C0E-87B6-3E17A287EE1E}"/>
  </hyperlinks>
  <pageMargins left="0.25" right="0.25" top="0.5" bottom="0.5" header="0.3" footer="0.55000000000000004"/>
  <pageSetup scale="44" orientation="landscape" r:id="rId1"/>
  <headerFooter>
    <oddFooter>&amp;L&amp;8&amp;K01+046LiveRamp Holdings, Inc.&amp;C&amp;8&amp;K01+047Page &amp;P of &amp;N</oddFooter>
  </headerFooter>
  <ignoredErrors>
    <ignoredError sqref="L45:L46"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S62"/>
  <sheetViews>
    <sheetView showGridLines="0" zoomScale="80" zoomScaleNormal="80" zoomScaleSheetLayoutView="80" workbookViewId="0">
      <pane xSplit="2" ySplit="7" topLeftCell="C8" activePane="bottomRight" state="frozen"/>
      <selection pane="topRight"/>
      <selection pane="bottomLeft"/>
      <selection pane="bottomRight" activeCell="O45" sqref="O45"/>
    </sheetView>
  </sheetViews>
  <sheetFormatPr defaultColWidth="8.7109375" defaultRowHeight="15" customHeight="1" outlineLevelRow="1" outlineLevelCol="2"/>
  <cols>
    <col min="1" max="1" width="5.5703125" style="1" customWidth="1"/>
    <col min="2" max="2" width="48.42578125" style="1" customWidth="1"/>
    <col min="3" max="7" width="12.5703125" style="1" hidden="1" customWidth="1" outlineLevel="2"/>
    <col min="8" max="9" width="12.5703125" style="1" hidden="1" customWidth="1" outlineLevel="1"/>
    <col min="10" max="10" width="12.5703125" style="1" customWidth="1" collapsed="1"/>
    <col min="11" max="19" width="12.5703125" style="1" customWidth="1"/>
    <col min="20" max="31" width="10.5703125" style="1" customWidth="1"/>
    <col min="32" max="34" width="13.42578125" style="1" customWidth="1"/>
    <col min="35" max="16384" width="8.7109375" style="1"/>
  </cols>
  <sheetData>
    <row r="4" spans="2:19" ht="15" customHeight="1">
      <c r="C4" s="108" t="s">
        <v>49</v>
      </c>
    </row>
    <row r="5" spans="2:19" ht="15" customHeight="1">
      <c r="B5" s="201" t="s">
        <v>56</v>
      </c>
      <c r="C5" s="12"/>
      <c r="D5" s="12"/>
      <c r="E5" s="12"/>
      <c r="F5" s="12"/>
      <c r="G5" s="12"/>
      <c r="H5" s="12"/>
      <c r="I5" s="12"/>
      <c r="J5" s="12"/>
      <c r="K5" s="12"/>
      <c r="L5" s="12"/>
      <c r="M5" s="12"/>
      <c r="N5" s="12"/>
      <c r="O5" s="12"/>
      <c r="P5" s="12"/>
      <c r="Q5" s="12"/>
      <c r="R5" s="12"/>
      <c r="S5" s="12"/>
    </row>
    <row r="6" spans="2:19" ht="15" customHeight="1">
      <c r="B6" s="203" t="s">
        <v>57</v>
      </c>
    </row>
    <row r="7" spans="2:19" ht="15" customHeight="1">
      <c r="B7" s="234"/>
      <c r="C7" s="51" t="s">
        <v>123</v>
      </c>
      <c r="D7" s="50" t="s">
        <v>78</v>
      </c>
      <c r="E7" s="50" t="s">
        <v>79</v>
      </c>
      <c r="F7" s="50" t="s">
        <v>80</v>
      </c>
      <c r="G7" s="51" t="s">
        <v>81</v>
      </c>
      <c r="H7" s="50" t="s">
        <v>82</v>
      </c>
      <c r="I7" s="50" t="s">
        <v>83</v>
      </c>
      <c r="J7" s="50" t="s">
        <v>84</v>
      </c>
      <c r="K7" s="51" t="s">
        <v>85</v>
      </c>
      <c r="L7" s="50" t="s">
        <v>158</v>
      </c>
      <c r="M7" s="50" t="s">
        <v>157</v>
      </c>
      <c r="N7" s="50" t="s">
        <v>196</v>
      </c>
      <c r="O7" s="51" t="s">
        <v>197</v>
      </c>
      <c r="P7" s="50" t="s">
        <v>200</v>
      </c>
      <c r="Q7" s="50" t="s">
        <v>201</v>
      </c>
      <c r="R7" s="50" t="s">
        <v>206</v>
      </c>
      <c r="S7" s="51" t="s">
        <v>212</v>
      </c>
    </row>
    <row r="8" spans="2:19" ht="15" customHeight="1">
      <c r="B8" s="235" t="s">
        <v>184</v>
      </c>
      <c r="C8" s="206"/>
      <c r="D8" s="50"/>
      <c r="E8" s="50"/>
      <c r="F8" s="50"/>
      <c r="G8" s="206"/>
      <c r="H8" s="50"/>
      <c r="I8" s="50"/>
      <c r="J8" s="50"/>
      <c r="K8" s="206"/>
      <c r="L8" s="50"/>
      <c r="M8" s="50"/>
      <c r="N8" s="50"/>
      <c r="O8" s="206"/>
      <c r="P8" s="50"/>
      <c r="Q8" s="50"/>
      <c r="R8" s="50"/>
      <c r="S8" s="206"/>
    </row>
    <row r="9" spans="2:19" ht="15" customHeight="1">
      <c r="B9" s="236" t="s">
        <v>185</v>
      </c>
      <c r="C9" s="52"/>
      <c r="G9" s="52"/>
      <c r="K9" s="52"/>
      <c r="O9" s="52"/>
      <c r="S9" s="52"/>
    </row>
    <row r="10" spans="2:19" s="153" customFormat="1" ht="15" customHeight="1">
      <c r="B10" s="237" t="s">
        <v>166</v>
      </c>
      <c r="C10" s="113">
        <v>168680</v>
      </c>
      <c r="D10" s="112">
        <v>162173</v>
      </c>
      <c r="E10" s="112">
        <v>168351</v>
      </c>
      <c r="F10" s="112">
        <v>176367</v>
      </c>
      <c r="G10" s="113">
        <v>140018</v>
      </c>
      <c r="H10" s="112">
        <v>93555</v>
      </c>
      <c r="I10" s="238">
        <v>87047</v>
      </c>
      <c r="J10" s="238">
        <v>1546774</v>
      </c>
      <c r="K10" s="113">
        <v>1061473</v>
      </c>
      <c r="L10" s="112">
        <v>1005477</v>
      </c>
      <c r="M10" s="238">
        <v>777443</v>
      </c>
      <c r="N10" s="238">
        <v>767200</v>
      </c>
      <c r="O10" s="113">
        <v>717811</v>
      </c>
      <c r="P10" s="112">
        <v>649895</v>
      </c>
      <c r="Q10" s="112">
        <v>650691</v>
      </c>
      <c r="R10" s="112">
        <v>663401</v>
      </c>
      <c r="S10" s="113">
        <v>572787</v>
      </c>
    </row>
    <row r="11" spans="2:19" s="153" customFormat="1" ht="15" customHeight="1">
      <c r="B11" s="237" t="s">
        <v>194</v>
      </c>
      <c r="C11" s="179">
        <v>0</v>
      </c>
      <c r="D11" s="198">
        <v>0</v>
      </c>
      <c r="E11" s="198">
        <v>0</v>
      </c>
      <c r="F11" s="198">
        <v>0</v>
      </c>
      <c r="G11" s="179">
        <v>0</v>
      </c>
      <c r="H11" s="198">
        <v>0</v>
      </c>
      <c r="I11" s="198">
        <v>0</v>
      </c>
      <c r="J11" s="198">
        <v>0</v>
      </c>
      <c r="K11" s="179">
        <v>0</v>
      </c>
      <c r="L11" s="198">
        <v>0</v>
      </c>
      <c r="M11" s="198">
        <v>14815</v>
      </c>
      <c r="N11" s="198">
        <v>14815</v>
      </c>
      <c r="O11" s="179">
        <v>14815</v>
      </c>
      <c r="P11" s="198">
        <v>14815</v>
      </c>
      <c r="Q11" s="198">
        <v>14815</v>
      </c>
      <c r="R11" s="198">
        <v>0</v>
      </c>
      <c r="S11" s="179">
        <v>8900</v>
      </c>
    </row>
    <row r="12" spans="2:19" ht="15" customHeight="1">
      <c r="B12" s="237" t="s">
        <v>98</v>
      </c>
      <c r="C12" s="179">
        <v>38625</v>
      </c>
      <c r="D12" s="198">
        <v>35334</v>
      </c>
      <c r="E12" s="198">
        <v>43534</v>
      </c>
      <c r="F12" s="198">
        <v>48673</v>
      </c>
      <c r="G12" s="179">
        <v>52047</v>
      </c>
      <c r="H12" s="198">
        <v>52895</v>
      </c>
      <c r="I12" s="198">
        <v>41110</v>
      </c>
      <c r="J12" s="198">
        <v>71906</v>
      </c>
      <c r="K12" s="179">
        <v>78563</v>
      </c>
      <c r="L12" s="198">
        <v>81061</v>
      </c>
      <c r="M12" s="198">
        <v>88150</v>
      </c>
      <c r="N12" s="198">
        <v>87709</v>
      </c>
      <c r="O12" s="179">
        <v>92761</v>
      </c>
      <c r="P12" s="198">
        <v>96472</v>
      </c>
      <c r="Q12" s="198">
        <v>99362</v>
      </c>
      <c r="R12" s="198">
        <v>115858</v>
      </c>
      <c r="S12" s="179">
        <v>114284</v>
      </c>
    </row>
    <row r="13" spans="2:19" ht="15" customHeight="1">
      <c r="B13" s="237" t="s">
        <v>99</v>
      </c>
      <c r="C13" s="179">
        <v>7525</v>
      </c>
      <c r="D13" s="198">
        <v>16094</v>
      </c>
      <c r="E13" s="198">
        <v>9914</v>
      </c>
      <c r="F13" s="198">
        <v>6501</v>
      </c>
      <c r="G13" s="179">
        <v>9977</v>
      </c>
      <c r="H13" s="198">
        <v>11944</v>
      </c>
      <c r="I13" s="198">
        <v>21185</v>
      </c>
      <c r="J13" s="198">
        <v>0</v>
      </c>
      <c r="K13" s="179">
        <v>7890</v>
      </c>
      <c r="L13" s="198">
        <v>8753</v>
      </c>
      <c r="M13" s="198">
        <v>15676</v>
      </c>
      <c r="N13" s="198">
        <v>17129</v>
      </c>
      <c r="O13" s="179">
        <v>38340</v>
      </c>
      <c r="P13" s="198">
        <v>39776</v>
      </c>
      <c r="Q13" s="198">
        <v>42578</v>
      </c>
      <c r="R13" s="198">
        <v>47709</v>
      </c>
      <c r="S13" s="179">
        <v>65692</v>
      </c>
    </row>
    <row r="14" spans="2:19" ht="15" customHeight="1">
      <c r="B14" s="237" t="s">
        <v>100</v>
      </c>
      <c r="C14" s="179">
        <v>29137</v>
      </c>
      <c r="D14" s="198">
        <v>28552</v>
      </c>
      <c r="E14" s="198">
        <v>24337</v>
      </c>
      <c r="F14" s="198">
        <v>19176</v>
      </c>
      <c r="G14" s="179">
        <v>20173</v>
      </c>
      <c r="H14" s="198">
        <v>20478</v>
      </c>
      <c r="I14" s="228">
        <v>23196</v>
      </c>
      <c r="J14" s="164">
        <v>27366</v>
      </c>
      <c r="K14" s="183">
        <v>44150</v>
      </c>
      <c r="L14" s="164">
        <v>42917</v>
      </c>
      <c r="M14" s="164">
        <v>51055</v>
      </c>
      <c r="N14" s="164">
        <v>46219</v>
      </c>
      <c r="O14" s="183">
        <v>32666</v>
      </c>
      <c r="P14" s="164">
        <v>24314</v>
      </c>
      <c r="Q14" s="164">
        <v>24560</v>
      </c>
      <c r="R14" s="164">
        <v>31685</v>
      </c>
      <c r="S14" s="183">
        <v>64052</v>
      </c>
    </row>
    <row r="15" spans="2:19" ht="15" hidden="1" customHeight="1" outlineLevel="1">
      <c r="B15" s="213" t="s">
        <v>101</v>
      </c>
      <c r="C15" s="183">
        <v>672625</v>
      </c>
      <c r="D15" s="164">
        <v>655821</v>
      </c>
      <c r="E15" s="164">
        <v>664007</v>
      </c>
      <c r="F15" s="164">
        <v>680059</v>
      </c>
      <c r="G15" s="183">
        <v>688776</v>
      </c>
      <c r="H15" s="164">
        <v>686129</v>
      </c>
      <c r="I15" s="164">
        <v>703004</v>
      </c>
      <c r="J15" s="164">
        <v>0</v>
      </c>
      <c r="K15" s="183">
        <v>0</v>
      </c>
      <c r="L15" s="164">
        <v>0</v>
      </c>
      <c r="M15" s="164">
        <v>0</v>
      </c>
      <c r="N15" s="164">
        <v>0</v>
      </c>
      <c r="O15" s="183">
        <v>0</v>
      </c>
      <c r="P15" s="164">
        <v>0</v>
      </c>
      <c r="Q15" s="164">
        <v>0</v>
      </c>
      <c r="R15" s="164">
        <v>0</v>
      </c>
      <c r="S15" s="183">
        <v>0</v>
      </c>
    </row>
    <row r="16" spans="2:19" s="78" customFormat="1" ht="15" customHeight="1" collapsed="1">
      <c r="B16" s="239" t="s">
        <v>97</v>
      </c>
      <c r="C16" s="240">
        <v>916592</v>
      </c>
      <c r="D16" s="241">
        <v>897974</v>
      </c>
      <c r="E16" s="241">
        <v>910143</v>
      </c>
      <c r="F16" s="241">
        <v>930776</v>
      </c>
      <c r="G16" s="240">
        <v>910991</v>
      </c>
      <c r="H16" s="241">
        <v>865001</v>
      </c>
      <c r="I16" s="241">
        <v>875542</v>
      </c>
      <c r="J16" s="241">
        <v>1646046</v>
      </c>
      <c r="K16" s="240">
        <f t="shared" ref="K16:P16" si="0">SUM(K10:K15)</f>
        <v>1192076</v>
      </c>
      <c r="L16" s="241">
        <f t="shared" si="0"/>
        <v>1138208</v>
      </c>
      <c r="M16" s="241">
        <f t="shared" si="0"/>
        <v>947139</v>
      </c>
      <c r="N16" s="241">
        <f t="shared" si="0"/>
        <v>933072</v>
      </c>
      <c r="O16" s="240">
        <f t="shared" si="0"/>
        <v>896393</v>
      </c>
      <c r="P16" s="241">
        <f t="shared" si="0"/>
        <v>825272</v>
      </c>
      <c r="Q16" s="241">
        <f t="shared" ref="Q16:R16" si="1">SUM(Q10:Q15)</f>
        <v>832006</v>
      </c>
      <c r="R16" s="241">
        <f t="shared" si="1"/>
        <v>858653</v>
      </c>
      <c r="S16" s="240">
        <f t="shared" ref="S16" si="2">SUM(S10:S15)</f>
        <v>825715</v>
      </c>
    </row>
    <row r="17" spans="2:19" ht="15" customHeight="1">
      <c r="B17" s="237"/>
      <c r="C17" s="179"/>
      <c r="D17" s="198"/>
      <c r="E17" s="198"/>
      <c r="F17" s="198"/>
      <c r="G17" s="179"/>
      <c r="H17" s="198"/>
      <c r="I17" s="198"/>
      <c r="J17" s="198"/>
      <c r="K17" s="179"/>
      <c r="L17" s="198"/>
      <c r="M17" s="198"/>
      <c r="N17" s="198"/>
      <c r="O17" s="179"/>
      <c r="P17" s="198"/>
      <c r="Q17" s="198"/>
      <c r="R17" s="198"/>
      <c r="S17" s="179"/>
    </row>
    <row r="18" spans="2:19" ht="15" customHeight="1">
      <c r="B18" s="237" t="s">
        <v>179</v>
      </c>
      <c r="C18" s="179">
        <v>57668</v>
      </c>
      <c r="D18" s="198">
        <v>62359</v>
      </c>
      <c r="E18" s="198">
        <v>57562</v>
      </c>
      <c r="F18" s="198">
        <v>56531</v>
      </c>
      <c r="G18" s="179">
        <v>62353</v>
      </c>
      <c r="H18" s="198">
        <v>62389</v>
      </c>
      <c r="I18" s="198">
        <v>58451</v>
      </c>
      <c r="J18" s="198">
        <v>58782</v>
      </c>
      <c r="K18" s="179">
        <v>64852</v>
      </c>
      <c r="L18" s="198">
        <v>68654</v>
      </c>
      <c r="M18" s="198">
        <v>64440</v>
      </c>
      <c r="N18" s="198">
        <v>43519</v>
      </c>
      <c r="O18" s="179">
        <v>44786</v>
      </c>
      <c r="P18" s="198">
        <v>45077</v>
      </c>
      <c r="Q18" s="198">
        <v>43604</v>
      </c>
      <c r="R18" s="198">
        <v>44076</v>
      </c>
      <c r="S18" s="179">
        <v>44284</v>
      </c>
    </row>
    <row r="19" spans="2:19" ht="15" customHeight="1">
      <c r="B19" s="213" t="s">
        <v>180</v>
      </c>
      <c r="C19" s="183">
        <v>22187</v>
      </c>
      <c r="D19" s="164">
        <v>25223</v>
      </c>
      <c r="E19" s="164">
        <v>23456</v>
      </c>
      <c r="F19" s="164">
        <v>25337</v>
      </c>
      <c r="G19" s="183">
        <v>30013</v>
      </c>
      <c r="H19" s="164">
        <v>32270</v>
      </c>
      <c r="I19" s="164">
        <v>29966</v>
      </c>
      <c r="J19" s="164">
        <v>34195</v>
      </c>
      <c r="K19" s="183">
        <v>38809</v>
      </c>
      <c r="L19" s="164">
        <v>44047</v>
      </c>
      <c r="M19" s="164">
        <v>43278</v>
      </c>
      <c r="N19" s="164">
        <v>23137</v>
      </c>
      <c r="O19" s="183">
        <v>25465</v>
      </c>
      <c r="P19" s="164">
        <v>27969</v>
      </c>
      <c r="Q19" s="164">
        <v>28382</v>
      </c>
      <c r="R19" s="164">
        <v>30555</v>
      </c>
      <c r="S19" s="183">
        <v>32327</v>
      </c>
    </row>
    <row r="20" spans="2:19" s="78" customFormat="1" ht="15" customHeight="1">
      <c r="B20" s="239" t="s">
        <v>181</v>
      </c>
      <c r="C20" s="240">
        <v>35481</v>
      </c>
      <c r="D20" s="241">
        <v>37136</v>
      </c>
      <c r="E20" s="241">
        <v>34106</v>
      </c>
      <c r="F20" s="241">
        <v>31194</v>
      </c>
      <c r="G20" s="240">
        <v>32340</v>
      </c>
      <c r="H20" s="241">
        <v>30119</v>
      </c>
      <c r="I20" s="241">
        <v>28485</v>
      </c>
      <c r="J20" s="241">
        <f t="shared" ref="J20:O20" si="3">J18-J19</f>
        <v>24587</v>
      </c>
      <c r="K20" s="240">
        <f t="shared" si="3"/>
        <v>26043</v>
      </c>
      <c r="L20" s="241">
        <f t="shared" si="3"/>
        <v>24607</v>
      </c>
      <c r="M20" s="241">
        <f t="shared" si="3"/>
        <v>21162</v>
      </c>
      <c r="N20" s="241">
        <f t="shared" si="3"/>
        <v>20382</v>
      </c>
      <c r="O20" s="240">
        <f t="shared" si="3"/>
        <v>19321</v>
      </c>
      <c r="P20" s="241">
        <f t="shared" ref="P20:Q20" si="4">P18-P19</f>
        <v>17108</v>
      </c>
      <c r="Q20" s="241">
        <f t="shared" si="4"/>
        <v>15222</v>
      </c>
      <c r="R20" s="241">
        <f t="shared" ref="R20:S20" si="5">R18-R19</f>
        <v>13521</v>
      </c>
      <c r="S20" s="240">
        <f t="shared" si="5"/>
        <v>11957</v>
      </c>
    </row>
    <row r="21" spans="2:19" ht="15" customHeight="1">
      <c r="B21" s="237"/>
      <c r="C21" s="179"/>
      <c r="D21" s="198"/>
      <c r="E21" s="198"/>
      <c r="F21" s="198"/>
      <c r="G21" s="179"/>
      <c r="H21" s="198"/>
      <c r="I21" s="198"/>
      <c r="J21" s="198"/>
      <c r="K21" s="179"/>
      <c r="L21" s="198"/>
      <c r="M21" s="198"/>
      <c r="N21" s="198"/>
      <c r="O21" s="179"/>
      <c r="P21" s="198"/>
      <c r="Q21" s="198"/>
      <c r="R21" s="198"/>
      <c r="S21" s="179"/>
    </row>
    <row r="22" spans="2:19" ht="15" customHeight="1">
      <c r="B22" s="237" t="s">
        <v>199</v>
      </c>
      <c r="C22" s="179">
        <v>25422</v>
      </c>
      <c r="D22" s="198">
        <v>22140</v>
      </c>
      <c r="E22" s="198">
        <v>18897</v>
      </c>
      <c r="F22" s="198">
        <v>15470</v>
      </c>
      <c r="G22" s="179">
        <v>13970</v>
      </c>
      <c r="H22" s="198">
        <v>10736</v>
      </c>
      <c r="I22" s="198">
        <v>9513</v>
      </c>
      <c r="J22" s="198">
        <v>31574</v>
      </c>
      <c r="K22" s="179">
        <v>28592</v>
      </c>
      <c r="L22" s="198">
        <v>27168</v>
      </c>
      <c r="M22" s="198">
        <v>56741</v>
      </c>
      <c r="N22" s="198">
        <v>51406</v>
      </c>
      <c r="O22" s="179">
        <v>45200</v>
      </c>
      <c r="P22" s="198">
        <v>39915</v>
      </c>
      <c r="Q22" s="198">
        <v>36709</v>
      </c>
      <c r="R22" s="198">
        <v>32577</v>
      </c>
      <c r="S22" s="179">
        <v>39730</v>
      </c>
    </row>
    <row r="23" spans="2:19" ht="15" customHeight="1">
      <c r="B23" s="237" t="s">
        <v>102</v>
      </c>
      <c r="C23" s="179">
        <v>200393</v>
      </c>
      <c r="D23" s="198">
        <v>200402</v>
      </c>
      <c r="E23" s="198">
        <v>200413</v>
      </c>
      <c r="F23" s="198">
        <v>200407</v>
      </c>
      <c r="G23" s="179">
        <v>203639</v>
      </c>
      <c r="H23" s="198">
        <v>204954</v>
      </c>
      <c r="I23" s="198">
        <v>204869</v>
      </c>
      <c r="J23" s="198">
        <v>204671</v>
      </c>
      <c r="K23" s="179">
        <v>204656</v>
      </c>
      <c r="L23" s="198">
        <v>207778</v>
      </c>
      <c r="M23" s="198">
        <v>297477</v>
      </c>
      <c r="N23" s="198">
        <v>297780</v>
      </c>
      <c r="O23" s="179">
        <v>297796</v>
      </c>
      <c r="P23" s="198">
        <v>298389</v>
      </c>
      <c r="Q23" s="198">
        <v>300741</v>
      </c>
      <c r="R23" s="198">
        <v>301321</v>
      </c>
      <c r="S23" s="179">
        <v>357446</v>
      </c>
    </row>
    <row r="24" spans="2:19" ht="15" customHeight="1">
      <c r="B24" s="236" t="s">
        <v>103</v>
      </c>
      <c r="C24" s="179">
        <v>0</v>
      </c>
      <c r="D24" s="198">
        <v>0</v>
      </c>
      <c r="E24" s="198">
        <v>0</v>
      </c>
      <c r="F24" s="198">
        <v>0</v>
      </c>
      <c r="G24" s="179">
        <v>0</v>
      </c>
      <c r="H24" s="198">
        <v>7441</v>
      </c>
      <c r="I24" s="198">
        <v>8490</v>
      </c>
      <c r="J24" s="198">
        <v>9478</v>
      </c>
      <c r="K24" s="179">
        <v>10741</v>
      </c>
      <c r="L24" s="198">
        <v>10567</v>
      </c>
      <c r="M24" s="198">
        <v>11347</v>
      </c>
      <c r="N24" s="198">
        <v>13451</v>
      </c>
      <c r="O24" s="179">
        <v>16014</v>
      </c>
      <c r="P24" s="198">
        <v>17695</v>
      </c>
      <c r="Q24" s="198">
        <v>19459</v>
      </c>
      <c r="R24" s="198">
        <v>21096</v>
      </c>
      <c r="S24" s="179">
        <v>22619</v>
      </c>
    </row>
    <row r="25" spans="2:19" ht="15" customHeight="1">
      <c r="B25" s="213" t="s">
        <v>104</v>
      </c>
      <c r="C25" s="183">
        <f>47115+83</f>
        <v>47198</v>
      </c>
      <c r="D25" s="164">
        <f>44856+51</f>
        <v>44907</v>
      </c>
      <c r="E25" s="164">
        <f>42019+69</f>
        <v>42088</v>
      </c>
      <c r="F25" s="164">
        <f>40537+29</f>
        <v>40566</v>
      </c>
      <c r="G25" s="183">
        <f>37653+201</f>
        <v>37854</v>
      </c>
      <c r="H25" s="164">
        <f>38712+178</f>
        <v>38890</v>
      </c>
      <c r="I25" s="164">
        <v>36481</v>
      </c>
      <c r="J25" s="164">
        <v>11162</v>
      </c>
      <c r="K25" s="183">
        <v>10803</v>
      </c>
      <c r="L25" s="164">
        <v>30976</v>
      </c>
      <c r="M25" s="164">
        <v>29364</v>
      </c>
      <c r="N25" s="164">
        <v>27761</v>
      </c>
      <c r="O25" s="183">
        <v>27165</v>
      </c>
      <c r="P25" s="164">
        <v>35552</v>
      </c>
      <c r="Q25" s="164">
        <v>34500</v>
      </c>
      <c r="R25" s="164">
        <v>32332</v>
      </c>
      <c r="S25" s="183">
        <v>30854</v>
      </c>
    </row>
    <row r="26" spans="2:19" s="210" customFormat="1" ht="15" customHeight="1">
      <c r="B26" s="239" t="s">
        <v>182</v>
      </c>
      <c r="C26" s="242">
        <v>1234965</v>
      </c>
      <c r="D26" s="243">
        <v>1214066</v>
      </c>
      <c r="E26" s="243">
        <v>1216968</v>
      </c>
      <c r="F26" s="243">
        <v>1226626</v>
      </c>
      <c r="G26" s="242">
        <v>1209497</v>
      </c>
      <c r="H26" s="243">
        <v>1167151</v>
      </c>
      <c r="I26" s="243">
        <v>1189692</v>
      </c>
      <c r="J26" s="243">
        <f>J16+J20+J22+J23+J24+J25</f>
        <v>1927518</v>
      </c>
      <c r="K26" s="242">
        <f>K16+K20+SUM(K22:K25)</f>
        <v>1472911</v>
      </c>
      <c r="L26" s="243">
        <f>L16+L20+L22+L23+L24+L25</f>
        <v>1439304</v>
      </c>
      <c r="M26" s="243">
        <f>M16+M20+M22+M23+M24+M25</f>
        <v>1363230</v>
      </c>
      <c r="N26" s="243">
        <f>N16+N20+N22+N23+N24+N25</f>
        <v>1343852</v>
      </c>
      <c r="O26" s="242">
        <f>O16+O20+SUM(O22:O25)</f>
        <v>1301889</v>
      </c>
      <c r="P26" s="243">
        <f>P16+P20+P22+P23+P24+P25</f>
        <v>1233931</v>
      </c>
      <c r="Q26" s="243">
        <f>Q16+Q20+Q22+Q23+Q24+Q25</f>
        <v>1238637</v>
      </c>
      <c r="R26" s="243">
        <f>R16+R20+R22+R23+R24+R25</f>
        <v>1259500</v>
      </c>
      <c r="S26" s="242">
        <f>S16+S20+SUM(S22:S25)</f>
        <v>1288321</v>
      </c>
    </row>
    <row r="27" spans="2:19" ht="15" customHeight="1">
      <c r="B27" s="236"/>
      <c r="C27" s="126"/>
      <c r="D27" s="107"/>
      <c r="E27" s="107"/>
      <c r="F27" s="107"/>
      <c r="G27" s="126"/>
      <c r="H27" s="107"/>
      <c r="I27" s="107"/>
      <c r="J27" s="107"/>
      <c r="K27" s="126"/>
      <c r="L27" s="107"/>
      <c r="M27" s="107"/>
      <c r="N27" s="107"/>
      <c r="O27" s="126"/>
      <c r="P27" s="107"/>
      <c r="Q27" s="107"/>
      <c r="R27" s="107"/>
      <c r="S27" s="126"/>
    </row>
    <row r="28" spans="2:19" ht="15" customHeight="1">
      <c r="B28" s="244" t="s">
        <v>186</v>
      </c>
      <c r="C28" s="126"/>
      <c r="D28" s="107"/>
      <c r="E28" s="107"/>
      <c r="F28" s="107"/>
      <c r="G28" s="126"/>
      <c r="H28" s="107"/>
      <c r="I28" s="107"/>
      <c r="J28" s="107"/>
      <c r="K28" s="126"/>
      <c r="L28" s="107"/>
      <c r="M28" s="107"/>
      <c r="N28" s="107"/>
      <c r="O28" s="126"/>
      <c r="P28" s="107"/>
      <c r="Q28" s="107"/>
      <c r="R28" s="107"/>
      <c r="S28" s="126"/>
    </row>
    <row r="29" spans="2:19" ht="15" customHeight="1">
      <c r="B29" s="236" t="s">
        <v>187</v>
      </c>
      <c r="C29" s="126"/>
      <c r="D29" s="107"/>
      <c r="E29" s="107"/>
      <c r="F29" s="107"/>
      <c r="G29" s="126"/>
      <c r="H29" s="107"/>
      <c r="I29" s="107"/>
      <c r="J29" s="107"/>
      <c r="K29" s="126"/>
      <c r="L29" s="107"/>
      <c r="M29" s="107"/>
      <c r="N29" s="107"/>
      <c r="O29" s="126"/>
      <c r="P29" s="107"/>
      <c r="Q29" s="107"/>
      <c r="R29" s="107"/>
      <c r="S29" s="126"/>
    </row>
    <row r="30" spans="2:19" s="153" customFormat="1" ht="15" hidden="1" customHeight="1" outlineLevel="1">
      <c r="B30" s="236" t="s">
        <v>106</v>
      </c>
      <c r="C30" s="113">
        <v>39819</v>
      </c>
      <c r="D30" s="112">
        <v>2339</v>
      </c>
      <c r="E30" s="112">
        <v>2089</v>
      </c>
      <c r="F30" s="112">
        <v>1837</v>
      </c>
      <c r="G30" s="113">
        <v>1583</v>
      </c>
      <c r="H30" s="112">
        <v>1327</v>
      </c>
      <c r="I30" s="238">
        <v>0</v>
      </c>
      <c r="J30" s="238">
        <v>0</v>
      </c>
      <c r="K30" s="113">
        <v>0</v>
      </c>
      <c r="L30" s="112">
        <v>0</v>
      </c>
      <c r="M30" s="238">
        <v>0</v>
      </c>
      <c r="N30" s="238">
        <v>0</v>
      </c>
      <c r="O30" s="113">
        <v>0</v>
      </c>
      <c r="P30" s="112">
        <v>0</v>
      </c>
      <c r="Q30" s="112">
        <v>0</v>
      </c>
      <c r="R30" s="112">
        <v>0</v>
      </c>
      <c r="S30" s="113">
        <v>0</v>
      </c>
    </row>
    <row r="31" spans="2:19" ht="15" customHeight="1" collapsed="1">
      <c r="B31" s="236" t="s">
        <v>107</v>
      </c>
      <c r="C31" s="186">
        <v>14969</v>
      </c>
      <c r="D31" s="245">
        <v>21210</v>
      </c>
      <c r="E31" s="245">
        <v>22041</v>
      </c>
      <c r="F31" s="245">
        <v>23237</v>
      </c>
      <c r="G31" s="186">
        <v>18759</v>
      </c>
      <c r="H31" s="245">
        <v>23304</v>
      </c>
      <c r="I31" s="245">
        <v>15854</v>
      </c>
      <c r="J31" s="245">
        <v>25125</v>
      </c>
      <c r="K31" s="186">
        <v>31203</v>
      </c>
      <c r="L31" s="245">
        <v>29930</v>
      </c>
      <c r="M31" s="245">
        <v>31721</v>
      </c>
      <c r="N31" s="245">
        <v>34417</v>
      </c>
      <c r="O31" s="186">
        <v>42204</v>
      </c>
      <c r="P31" s="245">
        <v>38380</v>
      </c>
      <c r="Q31" s="245">
        <v>38102</v>
      </c>
      <c r="R31" s="245">
        <v>44464</v>
      </c>
      <c r="S31" s="186">
        <v>39955</v>
      </c>
    </row>
    <row r="32" spans="2:19" ht="15" customHeight="1">
      <c r="B32" s="236" t="s">
        <v>183</v>
      </c>
      <c r="C32" s="186">
        <v>16298</v>
      </c>
      <c r="D32" s="245">
        <v>8501</v>
      </c>
      <c r="E32" s="245">
        <v>10691</v>
      </c>
      <c r="F32" s="245">
        <v>13730</v>
      </c>
      <c r="G32" s="186">
        <v>13774</v>
      </c>
      <c r="H32" s="245">
        <v>10363</v>
      </c>
      <c r="I32" s="245">
        <v>14329</v>
      </c>
      <c r="J32" s="245">
        <v>13960</v>
      </c>
      <c r="K32" s="186">
        <v>18715</v>
      </c>
      <c r="L32" s="245">
        <v>17081</v>
      </c>
      <c r="M32" s="245">
        <v>16716</v>
      </c>
      <c r="N32" s="245">
        <v>21211</v>
      </c>
      <c r="O32" s="186">
        <v>28791</v>
      </c>
      <c r="P32" s="245">
        <v>16727</v>
      </c>
      <c r="Q32" s="245">
        <v>23172</v>
      </c>
      <c r="R32" s="245">
        <v>28599</v>
      </c>
      <c r="S32" s="186">
        <v>46438</v>
      </c>
    </row>
    <row r="33" spans="2:19" ht="15" customHeight="1">
      <c r="B33" s="236" t="s">
        <v>108</v>
      </c>
      <c r="C33" s="186">
        <v>43647</v>
      </c>
      <c r="D33" s="245">
        <v>44920</v>
      </c>
      <c r="E33" s="245">
        <v>42945</v>
      </c>
      <c r="F33" s="245">
        <v>36876</v>
      </c>
      <c r="G33" s="186">
        <v>39624</v>
      </c>
      <c r="H33" s="245">
        <v>45440</v>
      </c>
      <c r="I33" s="245">
        <v>44434</v>
      </c>
      <c r="J33" s="245">
        <v>55135</v>
      </c>
      <c r="K33" s="186">
        <v>40916</v>
      </c>
      <c r="L33" s="245">
        <v>70929</v>
      </c>
      <c r="M33" s="245">
        <v>55724</v>
      </c>
      <c r="N33" s="245">
        <v>74079</v>
      </c>
      <c r="O33" s="186">
        <v>68991</v>
      </c>
      <c r="P33" s="245">
        <v>50024</v>
      </c>
      <c r="Q33" s="245">
        <v>58532</v>
      </c>
      <c r="R33" s="245">
        <v>72480</v>
      </c>
      <c r="S33" s="186">
        <v>58353</v>
      </c>
    </row>
    <row r="34" spans="2:19" ht="15" customHeight="1">
      <c r="B34" s="236" t="s">
        <v>195</v>
      </c>
      <c r="C34" s="186">
        <v>0</v>
      </c>
      <c r="D34" s="245">
        <v>0</v>
      </c>
      <c r="E34" s="245">
        <v>0</v>
      </c>
      <c r="F34" s="245">
        <v>0</v>
      </c>
      <c r="G34" s="186">
        <v>0</v>
      </c>
      <c r="H34" s="245">
        <v>0</v>
      </c>
      <c r="I34" s="245">
        <v>0</v>
      </c>
      <c r="J34" s="245">
        <v>0</v>
      </c>
      <c r="K34" s="186">
        <v>0</v>
      </c>
      <c r="L34" s="245">
        <v>0</v>
      </c>
      <c r="M34" s="245">
        <v>14815</v>
      </c>
      <c r="N34" s="245">
        <v>14815</v>
      </c>
      <c r="O34" s="186">
        <v>14815</v>
      </c>
      <c r="P34" s="245">
        <v>14815</v>
      </c>
      <c r="Q34" s="245">
        <v>14815</v>
      </c>
      <c r="R34" s="245">
        <v>0</v>
      </c>
      <c r="S34" s="186">
        <v>8900</v>
      </c>
    </row>
    <row r="35" spans="2:19" ht="15" customHeight="1">
      <c r="B35" s="236" t="s">
        <v>75</v>
      </c>
      <c r="C35" s="179">
        <v>4428</v>
      </c>
      <c r="D35" s="198">
        <v>3555</v>
      </c>
      <c r="E35" s="198">
        <v>3393</v>
      </c>
      <c r="F35" s="198">
        <v>5208</v>
      </c>
      <c r="G35" s="179">
        <v>4506</v>
      </c>
      <c r="H35" s="198">
        <v>4911</v>
      </c>
      <c r="I35" s="245">
        <v>2982</v>
      </c>
      <c r="J35" s="245">
        <v>2929</v>
      </c>
      <c r="K35" s="179">
        <v>4284</v>
      </c>
      <c r="L35" s="198">
        <v>3170</v>
      </c>
      <c r="M35" s="245">
        <v>4447</v>
      </c>
      <c r="N35" s="245">
        <v>4553</v>
      </c>
      <c r="O35" s="179">
        <v>6581</v>
      </c>
      <c r="P35" s="198">
        <v>5938</v>
      </c>
      <c r="Q35" s="198">
        <v>6546</v>
      </c>
      <c r="R35" s="198">
        <v>11789</v>
      </c>
      <c r="S35" s="179">
        <v>11603</v>
      </c>
    </row>
    <row r="36" spans="2:19" ht="15" customHeight="1">
      <c r="B36" s="224" t="s">
        <v>109</v>
      </c>
      <c r="C36" s="179">
        <v>0</v>
      </c>
      <c r="D36" s="198">
        <v>0</v>
      </c>
      <c r="E36" s="198">
        <v>0</v>
      </c>
      <c r="F36" s="198">
        <v>0</v>
      </c>
      <c r="G36" s="179">
        <v>0</v>
      </c>
      <c r="H36" s="198">
        <v>0</v>
      </c>
      <c r="I36" s="198">
        <v>0</v>
      </c>
      <c r="J36" s="164">
        <v>443590</v>
      </c>
      <c r="K36" s="183">
        <v>0</v>
      </c>
      <c r="L36" s="164">
        <v>0</v>
      </c>
      <c r="M36" s="164">
        <v>0</v>
      </c>
      <c r="N36" s="164">
        <v>0</v>
      </c>
      <c r="O36" s="183">
        <v>0</v>
      </c>
      <c r="P36" s="164">
        <v>0</v>
      </c>
      <c r="Q36" s="164">
        <v>0</v>
      </c>
      <c r="R36" s="164">
        <v>0</v>
      </c>
      <c r="S36" s="183">
        <v>0</v>
      </c>
    </row>
    <row r="37" spans="2:19" ht="15" hidden="1" customHeight="1" outlineLevel="1">
      <c r="B37" s="246" t="s">
        <v>110</v>
      </c>
      <c r="C37" s="189">
        <v>114444</v>
      </c>
      <c r="D37" s="247">
        <v>77747</v>
      </c>
      <c r="E37" s="247">
        <v>85349</v>
      </c>
      <c r="F37" s="247">
        <v>94355</v>
      </c>
      <c r="G37" s="189">
        <v>104060</v>
      </c>
      <c r="H37" s="247">
        <v>78755</v>
      </c>
      <c r="I37" s="247">
        <v>100882</v>
      </c>
      <c r="J37" s="164">
        <v>0</v>
      </c>
      <c r="K37" s="183">
        <v>0</v>
      </c>
      <c r="L37" s="164">
        <v>0</v>
      </c>
      <c r="M37" s="247">
        <v>0</v>
      </c>
      <c r="N37" s="247">
        <v>0</v>
      </c>
      <c r="O37" s="183">
        <v>0</v>
      </c>
      <c r="P37" s="164">
        <v>0</v>
      </c>
      <c r="Q37" s="164">
        <v>0</v>
      </c>
      <c r="R37" s="164">
        <v>0</v>
      </c>
      <c r="S37" s="183">
        <v>0</v>
      </c>
    </row>
    <row r="38" spans="2:19" s="78" customFormat="1" ht="15" customHeight="1" collapsed="1">
      <c r="B38" s="239" t="s">
        <v>105</v>
      </c>
      <c r="C38" s="222">
        <v>233605</v>
      </c>
      <c r="D38" s="248">
        <v>158272</v>
      </c>
      <c r="E38" s="248">
        <v>166508</v>
      </c>
      <c r="F38" s="248">
        <v>175243</v>
      </c>
      <c r="G38" s="222">
        <v>182306</v>
      </c>
      <c r="H38" s="248">
        <v>164100</v>
      </c>
      <c r="I38" s="248">
        <v>178481</v>
      </c>
      <c r="J38" s="248">
        <v>540739</v>
      </c>
      <c r="K38" s="222">
        <f t="shared" ref="K38:P38" si="6">SUM(K30:K37)</f>
        <v>95118</v>
      </c>
      <c r="L38" s="248">
        <f t="shared" si="6"/>
        <v>121110</v>
      </c>
      <c r="M38" s="248">
        <f t="shared" si="6"/>
        <v>123423</v>
      </c>
      <c r="N38" s="248">
        <f t="shared" si="6"/>
        <v>149075</v>
      </c>
      <c r="O38" s="222">
        <f t="shared" si="6"/>
        <v>161382</v>
      </c>
      <c r="P38" s="248">
        <f t="shared" si="6"/>
        <v>125884</v>
      </c>
      <c r="Q38" s="248">
        <f t="shared" ref="Q38:R38" si="7">SUM(Q30:Q37)</f>
        <v>141167</v>
      </c>
      <c r="R38" s="248">
        <f t="shared" si="7"/>
        <v>157332</v>
      </c>
      <c r="S38" s="222">
        <f t="shared" ref="S38" si="8">SUM(S30:S37)</f>
        <v>165249</v>
      </c>
    </row>
    <row r="39" spans="2:19" ht="15" customHeight="1">
      <c r="B39" s="237"/>
      <c r="C39" s="186"/>
      <c r="D39" s="245"/>
      <c r="E39" s="245"/>
      <c r="F39" s="245"/>
      <c r="G39" s="186"/>
      <c r="H39" s="245"/>
      <c r="I39" s="245"/>
      <c r="J39" s="245"/>
      <c r="K39" s="186"/>
      <c r="L39" s="245"/>
      <c r="M39" s="245"/>
      <c r="N39" s="245"/>
      <c r="O39" s="186"/>
      <c r="P39" s="245"/>
      <c r="Q39" s="245"/>
      <c r="R39" s="245"/>
      <c r="S39" s="186"/>
    </row>
    <row r="40" spans="2:19" ht="15" hidden="1" customHeight="1" outlineLevel="1">
      <c r="B40" s="237" t="s">
        <v>111</v>
      </c>
      <c r="C40" s="186">
        <v>189241</v>
      </c>
      <c r="D40" s="245">
        <v>228145</v>
      </c>
      <c r="E40" s="245">
        <v>228045</v>
      </c>
      <c r="F40" s="245">
        <v>227943</v>
      </c>
      <c r="G40" s="186">
        <v>227837</v>
      </c>
      <c r="H40" s="245">
        <v>227435</v>
      </c>
      <c r="I40" s="198">
        <v>226307</v>
      </c>
      <c r="J40" s="198">
        <v>0</v>
      </c>
      <c r="K40" s="186">
        <v>0</v>
      </c>
      <c r="L40" s="245">
        <v>0</v>
      </c>
      <c r="M40" s="198">
        <v>0</v>
      </c>
      <c r="N40" s="198">
        <v>0</v>
      </c>
      <c r="O40" s="186">
        <v>0</v>
      </c>
      <c r="P40" s="245">
        <v>0</v>
      </c>
      <c r="Q40" s="245">
        <v>0</v>
      </c>
      <c r="R40" s="245">
        <v>0</v>
      </c>
      <c r="S40" s="186">
        <v>0</v>
      </c>
    </row>
    <row r="41" spans="2:19" ht="15" hidden="1" customHeight="1" outlineLevel="1" collapsed="1">
      <c r="B41" s="237" t="s">
        <v>60</v>
      </c>
      <c r="C41" s="179">
        <v>58374</v>
      </c>
      <c r="D41" s="198">
        <v>60026</v>
      </c>
      <c r="E41" s="198">
        <v>54256</v>
      </c>
      <c r="F41" s="198">
        <v>34300</v>
      </c>
      <c r="G41" s="179">
        <v>40243</v>
      </c>
      <c r="H41" s="198">
        <v>42258</v>
      </c>
      <c r="I41" s="198">
        <v>20675</v>
      </c>
      <c r="J41" s="198"/>
      <c r="K41" s="179"/>
      <c r="L41" s="198"/>
      <c r="M41" s="198"/>
      <c r="N41" s="198"/>
      <c r="O41" s="179"/>
      <c r="P41" s="198"/>
      <c r="Q41" s="198"/>
      <c r="R41" s="198"/>
      <c r="S41" s="179"/>
    </row>
    <row r="42" spans="2:19" ht="15" customHeight="1" collapsed="1">
      <c r="B42" s="237" t="s">
        <v>112</v>
      </c>
      <c r="C42" s="179">
        <v>14765</v>
      </c>
      <c r="D42" s="198">
        <v>14166</v>
      </c>
      <c r="E42" s="198">
        <v>15063</v>
      </c>
      <c r="F42" s="198">
        <v>15029</v>
      </c>
      <c r="G42" s="179">
        <v>10016</v>
      </c>
      <c r="H42" s="198">
        <v>11302</v>
      </c>
      <c r="I42" s="198">
        <v>8380</v>
      </c>
      <c r="J42" s="198">
        <v>29863</v>
      </c>
      <c r="K42" s="179">
        <v>46961</v>
      </c>
      <c r="L42" s="198">
        <v>46037</v>
      </c>
      <c r="M42" s="198">
        <v>53449</v>
      </c>
      <c r="N42" s="198">
        <v>52236</v>
      </c>
      <c r="O42" s="179">
        <v>52995</v>
      </c>
      <c r="P42" s="198">
        <v>49758</v>
      </c>
      <c r="Q42" s="198">
        <v>46608</v>
      </c>
      <c r="R42" s="198">
        <v>43667</v>
      </c>
      <c r="S42" s="179">
        <v>42389</v>
      </c>
    </row>
    <row r="43" spans="2:19" ht="15" customHeight="1">
      <c r="B43" s="237"/>
      <c r="C43" s="186"/>
      <c r="D43" s="245"/>
      <c r="E43" s="245"/>
      <c r="F43" s="245"/>
      <c r="G43" s="186"/>
      <c r="H43" s="245"/>
      <c r="I43" s="245"/>
      <c r="J43" s="245"/>
      <c r="K43" s="186"/>
      <c r="L43" s="245"/>
      <c r="M43" s="245"/>
      <c r="N43" s="245"/>
      <c r="O43" s="186"/>
      <c r="P43" s="245"/>
      <c r="Q43" s="245"/>
      <c r="R43" s="245"/>
      <c r="S43" s="186"/>
    </row>
    <row r="44" spans="2:19" ht="15" customHeight="1">
      <c r="B44" s="237" t="s">
        <v>167</v>
      </c>
      <c r="C44" s="186"/>
      <c r="D44" s="245"/>
      <c r="E44" s="245"/>
      <c r="F44" s="245"/>
      <c r="G44" s="186"/>
      <c r="H44" s="245"/>
      <c r="I44" s="245"/>
      <c r="J44" s="245"/>
      <c r="K44" s="186"/>
      <c r="L44" s="245"/>
      <c r="M44" s="245"/>
      <c r="N44" s="245"/>
      <c r="O44" s="186"/>
      <c r="P44" s="245"/>
      <c r="Q44" s="245"/>
      <c r="R44" s="245"/>
      <c r="S44" s="186"/>
    </row>
    <row r="45" spans="2:19" ht="15" customHeight="1">
      <c r="B45" s="237" t="s">
        <v>50</v>
      </c>
      <c r="C45" s="179">
        <v>13288</v>
      </c>
      <c r="D45" s="198">
        <v>13407</v>
      </c>
      <c r="E45" s="198">
        <v>13478</v>
      </c>
      <c r="F45" s="198">
        <v>13552</v>
      </c>
      <c r="G45" s="179">
        <v>13609</v>
      </c>
      <c r="H45" s="198">
        <v>13773</v>
      </c>
      <c r="I45" s="198">
        <v>13836</v>
      </c>
      <c r="J45" s="198">
        <v>14084</v>
      </c>
      <c r="K45" s="179">
        <v>14187</v>
      </c>
      <c r="L45" s="198">
        <v>14245</v>
      </c>
      <c r="M45" s="198">
        <v>14310</v>
      </c>
      <c r="N45" s="198">
        <v>14343</v>
      </c>
      <c r="O45" s="179">
        <v>14394</v>
      </c>
      <c r="P45" s="198">
        <v>14525</v>
      </c>
      <c r="Q45" s="198">
        <v>14570</v>
      </c>
      <c r="R45" s="198">
        <v>14647</v>
      </c>
      <c r="S45" s="179">
        <v>14781</v>
      </c>
    </row>
    <row r="46" spans="2:19" ht="15" customHeight="1">
      <c r="B46" s="237" t="s">
        <v>51</v>
      </c>
      <c r="C46" s="179">
        <v>1154429</v>
      </c>
      <c r="D46" s="198">
        <v>1174496</v>
      </c>
      <c r="E46" s="198">
        <v>1197083</v>
      </c>
      <c r="F46" s="198">
        <v>1216565</v>
      </c>
      <c r="G46" s="179">
        <v>1235679</v>
      </c>
      <c r="H46" s="198">
        <v>1256442</v>
      </c>
      <c r="I46" s="198">
        <v>1277614</v>
      </c>
      <c r="J46" s="198">
        <v>1366221</v>
      </c>
      <c r="K46" s="179">
        <v>1406813</v>
      </c>
      <c r="L46" s="198">
        <v>1422879</v>
      </c>
      <c r="M46" s="198">
        <v>1460120</v>
      </c>
      <c r="N46" s="198">
        <v>1479018</v>
      </c>
      <c r="O46" s="179">
        <v>1496565</v>
      </c>
      <c r="P46" s="198">
        <v>1532481</v>
      </c>
      <c r="Q46" s="198">
        <v>1552303</v>
      </c>
      <c r="R46" s="198">
        <v>1574347</v>
      </c>
      <c r="S46" s="179">
        <v>1630072</v>
      </c>
    </row>
    <row r="47" spans="2:19" ht="15" customHeight="1">
      <c r="B47" s="237" t="s">
        <v>52</v>
      </c>
      <c r="C47" s="179">
        <v>602609</v>
      </c>
      <c r="D47" s="198">
        <v>603551</v>
      </c>
      <c r="E47" s="198">
        <v>600215</v>
      </c>
      <c r="F47" s="198">
        <v>623156</v>
      </c>
      <c r="G47" s="179">
        <v>628331</v>
      </c>
      <c r="H47" s="198">
        <v>638043</v>
      </c>
      <c r="I47" s="198">
        <v>656103</v>
      </c>
      <c r="J47" s="198">
        <v>1715066</v>
      </c>
      <c r="K47" s="179">
        <v>1669605</v>
      </c>
      <c r="L47" s="198">
        <v>1627465</v>
      </c>
      <c r="M47" s="198">
        <v>1587263</v>
      </c>
      <c r="N47" s="198">
        <v>1549223</v>
      </c>
      <c r="O47" s="179">
        <v>1545094</v>
      </c>
      <c r="P47" s="198">
        <v>1523366</v>
      </c>
      <c r="Q47" s="198">
        <v>1499398</v>
      </c>
      <c r="R47" s="198">
        <v>1487673</v>
      </c>
      <c r="S47" s="179">
        <v>1454826</v>
      </c>
    </row>
    <row r="48" spans="2:19" ht="15" customHeight="1">
      <c r="B48" s="237" t="s">
        <v>53</v>
      </c>
      <c r="C48" s="179">
        <v>7999</v>
      </c>
      <c r="D48" s="198">
        <v>8651</v>
      </c>
      <c r="E48" s="198">
        <v>9410</v>
      </c>
      <c r="F48" s="198">
        <v>9826</v>
      </c>
      <c r="G48" s="179">
        <v>10767</v>
      </c>
      <c r="H48" s="198">
        <v>8899</v>
      </c>
      <c r="I48" s="198">
        <v>7926</v>
      </c>
      <c r="J48" s="198">
        <v>7891</v>
      </c>
      <c r="K48" s="179">
        <v>7801</v>
      </c>
      <c r="L48" s="198">
        <v>7334</v>
      </c>
      <c r="M48" s="198">
        <v>6619</v>
      </c>
      <c r="N48" s="198">
        <v>6776</v>
      </c>
      <c r="O48" s="179">
        <v>5745</v>
      </c>
      <c r="P48" s="198">
        <v>6342</v>
      </c>
      <c r="Q48" s="198">
        <v>6944</v>
      </c>
      <c r="R48" s="198">
        <v>7814</v>
      </c>
      <c r="S48" s="179">
        <v>7522</v>
      </c>
    </row>
    <row r="49" spans="2:19" ht="15" customHeight="1">
      <c r="B49" s="213" t="s">
        <v>54</v>
      </c>
      <c r="C49" s="183">
        <v>-1039345</v>
      </c>
      <c r="D49" s="164">
        <v>-1046648</v>
      </c>
      <c r="E49" s="164">
        <v>-1067090</v>
      </c>
      <c r="F49" s="164">
        <v>-1088988</v>
      </c>
      <c r="G49" s="183">
        <v>-1139291</v>
      </c>
      <c r="H49" s="164">
        <v>-1195101</v>
      </c>
      <c r="I49" s="164">
        <v>-1199630</v>
      </c>
      <c r="J49" s="164">
        <v>-1743646</v>
      </c>
      <c r="K49" s="183">
        <v>-1767574</v>
      </c>
      <c r="L49" s="164">
        <v>-1799766</v>
      </c>
      <c r="M49" s="164">
        <v>-1881954</v>
      </c>
      <c r="N49" s="164">
        <v>-1906819</v>
      </c>
      <c r="O49" s="183">
        <v>-1974286</v>
      </c>
      <c r="P49" s="164">
        <v>-2018425</v>
      </c>
      <c r="Q49" s="164">
        <v>-2022353</v>
      </c>
      <c r="R49" s="164">
        <v>-2025980</v>
      </c>
      <c r="S49" s="183">
        <v>-2026518</v>
      </c>
    </row>
    <row r="50" spans="2:19" s="78" customFormat="1" ht="15" customHeight="1">
      <c r="B50" s="239" t="s">
        <v>55</v>
      </c>
      <c r="C50" s="242">
        <v>738980</v>
      </c>
      <c r="D50" s="249">
        <v>753457</v>
      </c>
      <c r="E50" s="249">
        <v>753096</v>
      </c>
      <c r="F50" s="249">
        <v>774111</v>
      </c>
      <c r="G50" s="242">
        <v>749095</v>
      </c>
      <c r="H50" s="249">
        <v>722056</v>
      </c>
      <c r="I50" s="249">
        <v>755849</v>
      </c>
      <c r="J50" s="249">
        <v>1359616</v>
      </c>
      <c r="K50" s="242">
        <f t="shared" ref="K50:P50" si="9">SUM(K45:K49)</f>
        <v>1330832</v>
      </c>
      <c r="L50" s="249">
        <f t="shared" si="9"/>
        <v>1272157</v>
      </c>
      <c r="M50" s="249">
        <f t="shared" si="9"/>
        <v>1186358</v>
      </c>
      <c r="N50" s="249">
        <f t="shared" si="9"/>
        <v>1142541</v>
      </c>
      <c r="O50" s="242">
        <f t="shared" si="9"/>
        <v>1087512</v>
      </c>
      <c r="P50" s="249">
        <f t="shared" si="9"/>
        <v>1058289</v>
      </c>
      <c r="Q50" s="249">
        <f t="shared" ref="Q50:S50" si="10">SUM(Q45:Q49)</f>
        <v>1050862</v>
      </c>
      <c r="R50" s="249">
        <f t="shared" si="10"/>
        <v>1058501</v>
      </c>
      <c r="S50" s="242">
        <f t="shared" si="10"/>
        <v>1080683</v>
      </c>
    </row>
    <row r="51" spans="2:19" s="78" customFormat="1" ht="15" customHeight="1">
      <c r="B51" s="239" t="s">
        <v>58</v>
      </c>
      <c r="C51" s="242">
        <v>1234965</v>
      </c>
      <c r="D51" s="249">
        <v>1214066</v>
      </c>
      <c r="E51" s="249">
        <v>1216968</v>
      </c>
      <c r="F51" s="249">
        <v>1226626</v>
      </c>
      <c r="G51" s="242">
        <v>1209497</v>
      </c>
      <c r="H51" s="249">
        <v>1167151</v>
      </c>
      <c r="I51" s="249">
        <v>1189692</v>
      </c>
      <c r="J51" s="249">
        <v>1927518</v>
      </c>
      <c r="K51" s="242">
        <f t="shared" ref="K51:P51" si="11">K38+K40+K41+K42+K50</f>
        <v>1472911</v>
      </c>
      <c r="L51" s="249">
        <f t="shared" si="11"/>
        <v>1439304</v>
      </c>
      <c r="M51" s="249">
        <f t="shared" si="11"/>
        <v>1363230</v>
      </c>
      <c r="N51" s="249">
        <f t="shared" si="11"/>
        <v>1343852</v>
      </c>
      <c r="O51" s="242">
        <f t="shared" si="11"/>
        <v>1301889</v>
      </c>
      <c r="P51" s="249">
        <f t="shared" si="11"/>
        <v>1233931</v>
      </c>
      <c r="Q51" s="249">
        <f t="shared" ref="Q51:S51" si="12">Q38+Q40+Q41+Q42+Q50</f>
        <v>1238637</v>
      </c>
      <c r="R51" s="249">
        <f t="shared" si="12"/>
        <v>1259500</v>
      </c>
      <c r="S51" s="242">
        <f t="shared" si="12"/>
        <v>1288321</v>
      </c>
    </row>
    <row r="52" spans="2:19" s="9" customFormat="1" ht="15" customHeight="1">
      <c r="C52" s="151"/>
      <c r="G52" s="151"/>
      <c r="K52" s="151"/>
      <c r="O52" s="151"/>
      <c r="S52" s="151"/>
    </row>
    <row r="54" spans="2:19" ht="15" customHeight="1">
      <c r="C54" s="103"/>
      <c r="D54" s="103"/>
      <c r="E54" s="103"/>
      <c r="F54" s="103"/>
      <c r="G54" s="103"/>
      <c r="H54" s="103"/>
      <c r="I54" s="103"/>
      <c r="J54" s="103"/>
      <c r="K54" s="103"/>
      <c r="L54" s="103"/>
      <c r="M54" s="103"/>
      <c r="N54" s="103"/>
      <c r="O54" s="103"/>
      <c r="P54" s="103"/>
      <c r="Q54" s="103"/>
      <c r="R54" s="103"/>
      <c r="S54" s="103"/>
    </row>
    <row r="62" spans="2:19" ht="15" customHeight="1">
      <c r="C62" s="103"/>
      <c r="D62" s="103"/>
      <c r="E62" s="103"/>
      <c r="F62" s="103"/>
      <c r="G62" s="103"/>
      <c r="H62" s="103"/>
      <c r="I62" s="103"/>
      <c r="J62" s="103"/>
      <c r="K62" s="103"/>
      <c r="L62" s="103"/>
      <c r="M62" s="103"/>
      <c r="N62" s="103"/>
      <c r="O62" s="103"/>
      <c r="P62" s="103"/>
      <c r="Q62" s="103"/>
      <c r="R62" s="103"/>
      <c r="S62" s="103"/>
    </row>
  </sheetData>
  <hyperlinks>
    <hyperlink ref="C4" location="Cover!A1" display="Back to Main" xr:uid="{D2DFE842-CFDB-4DA5-8EA7-C7F62F9CC6EA}"/>
  </hyperlinks>
  <pageMargins left="0.25" right="0.25" top="0.5" bottom="0.5" header="0.3" footer="0.55000000000000004"/>
  <pageSetup scale="71"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26ACA9-722C-402D-803E-A27A94D1B6C2}">
  <ds:schemaRefs>
    <ds:schemaRef ds:uri="864749fc-0baa-49a7-a157-73d0aa52a4c4"/>
    <ds:schemaRef ds:uri="http://purl.org/dc/terms/"/>
    <ds:schemaRef ds:uri="http://purl.org/dc/elements/1.1/"/>
    <ds:schemaRef ds:uri="924476e6-b917-4696-8e52-e035bfc7b556"/>
    <ds:schemaRef ds:uri="http://schemas.microsoft.com/office/infopath/2007/PartnerControls"/>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4A095ADA-5D0C-4CA2-996D-D02EB4AA87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Craig Harrison</cp:lastModifiedBy>
  <cp:lastPrinted>2021-05-11T19:17:27Z</cp:lastPrinted>
  <dcterms:created xsi:type="dcterms:W3CDTF">2018-10-24T22:30:10Z</dcterms:created>
  <dcterms:modified xsi:type="dcterms:W3CDTF">2021-05-11T19:17:32Z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