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G:\Shared drives\SEC Reporting\Quarterly-Annual Review\2023 Q1\PR Fins, PR Narrative, AC Deck\"/>
    </mc:Choice>
  </mc:AlternateContent>
  <xr:revisionPtr revIDLastSave="0" documentId="13_ncr:1_{07935C6A-30F4-46C0-A6AB-962D2838635C}" xr6:coauthVersionLast="47" xr6:coauthVersionMax="47" xr10:uidLastSave="{00000000-0000-0000-0000-000000000000}"/>
  <bookViews>
    <workbookView xWindow="-120" yWindow="-120" windowWidth="29040" windowHeight="17640" activeTab="1"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BS!$A$1:$V$53</definedName>
    <definedName name="_xlnm.Print_Area" localSheetId="6">CF!$A$1:$Y$59</definedName>
    <definedName name="_xlnm.Print_Area" localSheetId="0">Cover!$A$2:$D$38</definedName>
    <definedName name="_xlnm.Print_Area" localSheetId="4">EBITDA!$A$1:$AA$26</definedName>
    <definedName name="_xlnm.Print_Area" localSheetId="5">EPS!$A$1:$AA$39</definedName>
    <definedName name="_xlnm.Print_Area" localSheetId="3">'Revenue &amp; Customer Detail'!$A$1:$AD$24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9" i="4" l="1"/>
  <c r="AA29" i="4"/>
  <c r="AG49" i="1"/>
  <c r="AE49" i="1"/>
  <c r="AC14" i="3" l="1"/>
  <c r="X50" i="17" l="1"/>
  <c r="X38" i="17"/>
  <c r="X20" i="17"/>
  <c r="X16" i="17"/>
  <c r="AB57" i="19"/>
  <c r="AB52" i="19"/>
  <c r="AB46" i="19"/>
  <c r="AB37" i="19"/>
  <c r="AB26" i="19"/>
  <c r="AC21" i="4"/>
  <c r="AC11" i="4"/>
  <c r="AC12" i="3"/>
  <c r="AC11" i="3"/>
  <c r="AG18" i="16"/>
  <c r="AG13" i="16"/>
  <c r="AG60" i="1"/>
  <c r="AC19" i="3" s="1"/>
  <c r="AG51" i="1"/>
  <c r="AG62" i="1" s="1"/>
  <c r="AG50" i="1"/>
  <c r="AG61" i="1" s="1"/>
  <c r="AG48" i="1"/>
  <c r="AG59" i="1" s="1"/>
  <c r="AG47" i="1"/>
  <c r="AG58" i="1" s="1"/>
  <c r="AG35" i="1"/>
  <c r="AG41" i="1" s="1"/>
  <c r="AG28" i="1"/>
  <c r="AG32" i="1" s="1"/>
  <c r="AG21" i="1"/>
  <c r="AG25" i="1" s="1"/>
  <c r="AG10" i="1"/>
  <c r="AC66" i="20"/>
  <c r="AC61" i="20"/>
  <c r="AC50" i="20"/>
  <c r="AC53" i="20" s="1"/>
  <c r="AC54" i="20" s="1"/>
  <c r="AC20" i="20"/>
  <c r="AC12" i="20"/>
  <c r="AC13" i="20" s="1"/>
  <c r="AB56" i="19" l="1"/>
  <c r="AB58" i="19" s="1"/>
  <c r="X51" i="17"/>
  <c r="AC18" i="3"/>
  <c r="AC20" i="4"/>
  <c r="AC19" i="4"/>
  <c r="AG29" i="1"/>
  <c r="AG42" i="1"/>
  <c r="AG12" i="1"/>
  <c r="AG13" i="1" s="1"/>
  <c r="AG26" i="1"/>
  <c r="AG33" i="1"/>
  <c r="X26" i="17"/>
  <c r="AG19" i="16"/>
  <c r="AG22" i="1"/>
  <c r="AG36" i="1"/>
  <c r="AC22" i="20"/>
  <c r="AG44" i="1" s="1"/>
  <c r="AG45" i="1" s="1"/>
  <c r="AC63" i="20"/>
  <c r="AC64" i="20" s="1"/>
  <c r="W50" i="17"/>
  <c r="W38" i="17"/>
  <c r="W20" i="17"/>
  <c r="W16" i="17"/>
  <c r="AA57" i="19"/>
  <c r="AA54" i="19"/>
  <c r="AA52" i="19"/>
  <c r="Z52" i="19"/>
  <c r="AA51" i="19"/>
  <c r="AA50" i="19"/>
  <c r="AA49" i="19"/>
  <c r="Z46" i="19"/>
  <c r="AA45" i="19"/>
  <c r="AA44" i="19"/>
  <c r="AA43" i="19"/>
  <c r="AA42" i="19"/>
  <c r="AA41" i="19"/>
  <c r="AA40" i="19"/>
  <c r="Z37" i="19"/>
  <c r="AA36" i="19"/>
  <c r="AA35" i="19"/>
  <c r="AA34" i="19"/>
  <c r="AA33" i="19"/>
  <c r="AA32" i="19"/>
  <c r="AA31" i="19"/>
  <c r="AA30" i="19"/>
  <c r="AA29" i="19"/>
  <c r="Z26" i="19"/>
  <c r="AA25" i="19"/>
  <c r="AA24" i="19"/>
  <c r="AA23" i="19"/>
  <c r="AA22" i="19"/>
  <c r="AA21" i="19"/>
  <c r="AA20" i="19"/>
  <c r="AA18" i="19"/>
  <c r="AA17" i="19"/>
  <c r="AA16" i="19"/>
  <c r="AA15" i="19"/>
  <c r="AA14" i="19"/>
  <c r="AA13" i="19"/>
  <c r="AA12" i="19"/>
  <c r="AA10" i="19"/>
  <c r="AA9" i="19"/>
  <c r="AB21" i="3"/>
  <c r="AB20" i="3"/>
  <c r="AA18" i="3"/>
  <c r="AB18" i="3" s="1"/>
  <c r="AB14" i="3"/>
  <c r="AB12" i="3"/>
  <c r="AA12" i="3"/>
  <c r="AA11" i="3"/>
  <c r="AB11" i="3" s="1"/>
  <c r="AF22" i="16"/>
  <c r="AF21" i="16"/>
  <c r="AE18" i="16"/>
  <c r="AF17" i="16"/>
  <c r="AF16" i="16"/>
  <c r="AE13" i="16"/>
  <c r="AF13" i="16" s="1"/>
  <c r="AF12" i="16"/>
  <c r="AF11" i="16"/>
  <c r="AG18" i="1" l="1"/>
  <c r="AG19" i="1" s="1"/>
  <c r="AC25" i="4"/>
  <c r="AG52" i="1"/>
  <c r="AG53" i="1" s="1"/>
  <c r="AC23" i="20"/>
  <c r="AC27" i="20"/>
  <c r="AC68" i="20"/>
  <c r="AC72" i="20" s="1"/>
  <c r="AF18" i="16"/>
  <c r="AF19" i="16" s="1"/>
  <c r="W51" i="17"/>
  <c r="W26" i="17"/>
  <c r="AA46" i="19"/>
  <c r="AA37" i="19"/>
  <c r="Z56" i="19"/>
  <c r="AA26" i="19"/>
  <c r="AE19" i="16"/>
  <c r="AA50" i="20"/>
  <c r="AC74" i="20" l="1"/>
  <c r="AC31" i="20"/>
  <c r="AG55" i="1"/>
  <c r="AG64" i="1" s="1"/>
  <c r="AG65" i="1" s="1"/>
  <c r="AC10" i="4"/>
  <c r="AB29" i="4"/>
  <c r="AB24" i="4"/>
  <c r="AB22" i="4"/>
  <c r="AA21" i="4"/>
  <c r="AB21" i="4" s="1"/>
  <c r="AA19" i="4"/>
  <c r="AA11" i="4"/>
  <c r="AB11" i="4" s="1"/>
  <c r="AB70" i="20"/>
  <c r="AA66" i="20"/>
  <c r="AB66" i="20" s="1"/>
  <c r="AA61" i="20"/>
  <c r="AB60" i="20"/>
  <c r="AB59" i="20"/>
  <c r="AB58" i="20"/>
  <c r="AB57" i="20"/>
  <c r="AA53" i="20"/>
  <c r="AB52" i="20"/>
  <c r="AB50" i="20"/>
  <c r="AB53" i="20" s="1"/>
  <c r="AB49" i="20"/>
  <c r="AB33" i="20"/>
  <c r="AB29" i="20"/>
  <c r="AB25" i="20"/>
  <c r="AA20" i="20"/>
  <c r="AB19" i="20"/>
  <c r="AB18" i="20"/>
  <c r="AB17" i="20"/>
  <c r="AB16" i="20"/>
  <c r="AA12" i="20"/>
  <c r="AA13" i="20" s="1"/>
  <c r="AB11" i="20"/>
  <c r="AB9" i="20"/>
  <c r="AB12" i="20" s="1"/>
  <c r="AF63" i="1"/>
  <c r="AE60" i="1"/>
  <c r="AE51" i="1"/>
  <c r="AE62" i="1" s="1"/>
  <c r="AE50" i="1"/>
  <c r="AE61" i="1" s="1"/>
  <c r="AF49" i="1"/>
  <c r="AE48" i="1"/>
  <c r="AE47" i="1"/>
  <c r="AF40" i="1"/>
  <c r="AF39" i="1"/>
  <c r="AF38" i="1"/>
  <c r="AE35" i="1"/>
  <c r="AE41" i="1" s="1"/>
  <c r="AF31" i="1"/>
  <c r="AE28" i="1"/>
  <c r="AE32" i="1" s="1"/>
  <c r="AF24" i="1"/>
  <c r="AE21" i="1"/>
  <c r="AE25" i="1" s="1"/>
  <c r="AF17" i="1"/>
  <c r="AF16" i="1"/>
  <c r="AF15" i="1"/>
  <c r="AE12" i="1"/>
  <c r="AE18" i="1" s="1"/>
  <c r="AE10" i="1"/>
  <c r="AF10" i="1" s="1"/>
  <c r="Y39" i="20"/>
  <c r="Y37" i="20"/>
  <c r="AF60" i="1" l="1"/>
  <c r="AA19" i="3"/>
  <c r="AB19" i="3" s="1"/>
  <c r="AC35" i="20"/>
  <c r="AC10" i="3"/>
  <c r="AC13" i="3" s="1"/>
  <c r="AC15" i="3" s="1"/>
  <c r="AC22" i="3" s="1"/>
  <c r="AC12" i="4"/>
  <c r="AC28" i="4"/>
  <c r="AC30" i="4" s="1"/>
  <c r="AC32" i="4" s="1"/>
  <c r="AA20" i="4"/>
  <c r="AA25" i="4" s="1"/>
  <c r="AB61" i="20"/>
  <c r="AB63" i="20" s="1"/>
  <c r="AA63" i="20"/>
  <c r="AA64" i="20" s="1"/>
  <c r="AB20" i="20"/>
  <c r="AB22" i="20" s="1"/>
  <c r="AF35" i="1"/>
  <c r="AF41" i="1" s="1"/>
  <c r="AF42" i="1" s="1"/>
  <c r="AF12" i="1"/>
  <c r="AF13" i="1" s="1"/>
  <c r="AE42" i="1"/>
  <c r="AA22" i="20"/>
  <c r="AA27" i="20" s="1"/>
  <c r="AB13" i="20"/>
  <c r="AB54" i="20"/>
  <c r="AF21" i="1"/>
  <c r="AF22" i="1" s="1"/>
  <c r="AA54" i="20"/>
  <c r="AE13" i="1"/>
  <c r="AE36" i="1"/>
  <c r="AE26" i="1"/>
  <c r="AE19" i="1"/>
  <c r="AE33" i="1"/>
  <c r="AE58" i="1"/>
  <c r="AE22" i="1"/>
  <c r="AF28" i="1"/>
  <c r="AF29" i="1" s="1"/>
  <c r="AE59" i="1"/>
  <c r="AE29" i="1"/>
  <c r="V50" i="17"/>
  <c r="V38" i="17"/>
  <c r="V20" i="17"/>
  <c r="V16" i="17"/>
  <c r="Y52" i="19"/>
  <c r="Y46" i="19"/>
  <c r="Y37" i="19"/>
  <c r="Y26" i="19"/>
  <c r="Y16" i="4"/>
  <c r="Z29" i="4"/>
  <c r="Z11" i="4"/>
  <c r="Z12" i="3"/>
  <c r="Z11" i="3"/>
  <c r="AD18" i="16"/>
  <c r="AD13" i="16"/>
  <c r="AD51" i="1"/>
  <c r="Z23" i="4" s="1"/>
  <c r="AD50" i="1"/>
  <c r="AD61" i="1" s="1"/>
  <c r="AD49" i="1"/>
  <c r="AD60" i="1" s="1"/>
  <c r="Z19" i="3" s="1"/>
  <c r="AD48" i="1"/>
  <c r="AD59" i="1" s="1"/>
  <c r="AD47" i="1"/>
  <c r="AD58" i="1" s="1"/>
  <c r="AD35" i="1"/>
  <c r="AD41" i="1" s="1"/>
  <c r="AD28" i="1"/>
  <c r="AD32" i="1" s="1"/>
  <c r="AD21" i="1"/>
  <c r="AD25" i="1" s="1"/>
  <c r="AD10" i="1"/>
  <c r="Z61" i="20"/>
  <c r="Z50" i="20"/>
  <c r="Z53" i="20" s="1"/>
  <c r="Z54" i="20" s="1"/>
  <c r="Z49" i="20"/>
  <c r="Z20" i="20"/>
  <c r="Z12" i="20"/>
  <c r="AD12" i="1" s="1"/>
  <c r="AD18" i="1" s="1"/>
  <c r="AD19" i="1" s="1"/>
  <c r="Y66" i="20"/>
  <c r="U50" i="17"/>
  <c r="U38" i="17"/>
  <c r="U20" i="17"/>
  <c r="U16" i="17"/>
  <c r="X52" i="19"/>
  <c r="X46" i="19"/>
  <c r="X37" i="19"/>
  <c r="X26" i="19"/>
  <c r="Y29"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AC37" i="20" l="1"/>
  <c r="AC16" i="4" s="1"/>
  <c r="AC15" i="4" s="1"/>
  <c r="AC39" i="20"/>
  <c r="AE55" i="1"/>
  <c r="AF55" i="1" s="1"/>
  <c r="AA10" i="4"/>
  <c r="AA28" i="4" s="1"/>
  <c r="AA30" i="4" s="1"/>
  <c r="AA32" i="4" s="1"/>
  <c r="AA68" i="20"/>
  <c r="AA72" i="20" s="1"/>
  <c r="AA74" i="20" s="1"/>
  <c r="AF36" i="1"/>
  <c r="AE44" i="1"/>
  <c r="AE45" i="1" s="1"/>
  <c r="AA31" i="20"/>
  <c r="AA23" i="20"/>
  <c r="AB68" i="20"/>
  <c r="AB72" i="20" s="1"/>
  <c r="AB74" i="20" s="1"/>
  <c r="AB64" i="20"/>
  <c r="AB27" i="20"/>
  <c r="AB31" i="20" s="1"/>
  <c r="AB35" i="20" s="1"/>
  <c r="AB23" i="20"/>
  <c r="V51" i="17"/>
  <c r="V26" i="17"/>
  <c r="AD62" i="1"/>
  <c r="Z18" i="3"/>
  <c r="Y23" i="4"/>
  <c r="Z19" i="4"/>
  <c r="Z20" i="4"/>
  <c r="AD33" i="1"/>
  <c r="Z21" i="4"/>
  <c r="AD22" i="1"/>
  <c r="AD26" i="1"/>
  <c r="AD36" i="1"/>
  <c r="AD42" i="1"/>
  <c r="Y56" i="19"/>
  <c r="AD19" i="16"/>
  <c r="AD13" i="1"/>
  <c r="AD29" i="1"/>
  <c r="Z22" i="20"/>
  <c r="Z63" i="20"/>
  <c r="Z64" i="20" s="1"/>
  <c r="Z13" i="20"/>
  <c r="U51" i="17"/>
  <c r="Y21" i="4"/>
  <c r="AC22" i="1"/>
  <c r="AC36" i="1"/>
  <c r="AC42" i="1"/>
  <c r="AC29" i="1"/>
  <c r="AC18" i="1"/>
  <c r="AC19" i="1" s="1"/>
  <c r="AC13" i="1"/>
  <c r="AC19" i="16"/>
  <c r="AC25" i="1"/>
  <c r="AC26" i="1" s="1"/>
  <c r="Y20" i="4"/>
  <c r="U26" i="17"/>
  <c r="AC32" i="1"/>
  <c r="AC33" i="1" s="1"/>
  <c r="Y18" i="3"/>
  <c r="X56" i="19"/>
  <c r="AA56" i="19" s="1"/>
  <c r="AA58" i="19" s="1"/>
  <c r="AC58" i="1"/>
  <c r="Y63" i="20"/>
  <c r="Y54" i="20"/>
  <c r="Y22" i="20"/>
  <c r="AC44" i="1" s="1"/>
  <c r="AC45" i="1" s="1"/>
  <c r="Y13" i="20"/>
  <c r="AA63" i="1"/>
  <c r="V63" i="1"/>
  <c r="Q63" i="1"/>
  <c r="L63" i="1"/>
  <c r="K61" i="1"/>
  <c r="AA12" i="4" l="1"/>
  <c r="AB10" i="4"/>
  <c r="AB12" i="4" s="1"/>
  <c r="AA35" i="20"/>
  <c r="AA10" i="3"/>
  <c r="AE64" i="1"/>
  <c r="AE65" i="1" s="1"/>
  <c r="AF44" i="1"/>
  <c r="AE52" i="1"/>
  <c r="AE53" i="1" s="1"/>
  <c r="Y25" i="4"/>
  <c r="Z25" i="4"/>
  <c r="Z27" i="20"/>
  <c r="AD44" i="1"/>
  <c r="Z68" i="20"/>
  <c r="Z72" i="20" s="1"/>
  <c r="Z74" i="20" s="1"/>
  <c r="Z23" i="20"/>
  <c r="AC52" i="1"/>
  <c r="AC53" i="1" s="1"/>
  <c r="Y23" i="20"/>
  <c r="Y27" i="20"/>
  <c r="Y68" i="20"/>
  <c r="Y72" i="20" s="1"/>
  <c r="Y74" i="20" s="1"/>
  <c r="Y64" i="20"/>
  <c r="AB10" i="3" l="1"/>
  <c r="AB13" i="3" s="1"/>
  <c r="AB15" i="3" s="1"/>
  <c r="AB22" i="3" s="1"/>
  <c r="AA13" i="3"/>
  <c r="AA15" i="3" s="1"/>
  <c r="AA22" i="3" s="1"/>
  <c r="AA37" i="20"/>
  <c r="AA16" i="4" s="1"/>
  <c r="AA15" i="4" s="1"/>
  <c r="AA39" i="20"/>
  <c r="AB16" i="4"/>
  <c r="AB15" i="4"/>
  <c r="AF45" i="1"/>
  <c r="AD45" i="1"/>
  <c r="AD52" i="1"/>
  <c r="AD53" i="1" s="1"/>
  <c r="Z31" i="20"/>
  <c r="Z10" i="4"/>
  <c r="AD55" i="1"/>
  <c r="AD64" i="1" s="1"/>
  <c r="AD65" i="1" s="1"/>
  <c r="Y31" i="20"/>
  <c r="Y10" i="4"/>
  <c r="AC55" i="1"/>
  <c r="AC64" i="1" s="1"/>
  <c r="AC65" i="1" s="1"/>
  <c r="W35" i="4"/>
  <c r="W34" i="4"/>
  <c r="R35" i="4"/>
  <c r="R34" i="4"/>
  <c r="K32" i="4"/>
  <c r="J32" i="4"/>
  <c r="I32" i="4"/>
  <c r="H32" i="4"/>
  <c r="G32" i="4"/>
  <c r="F32" i="4"/>
  <c r="E32" i="4"/>
  <c r="D32" i="4"/>
  <c r="AB37" i="20" l="1"/>
  <c r="AB39" i="20"/>
  <c r="Z28" i="4"/>
  <c r="Z30" i="4" s="1"/>
  <c r="Z32" i="4" s="1"/>
  <c r="Z12" i="4"/>
  <c r="Z35" i="20"/>
  <c r="Z10" i="3"/>
  <c r="Z13" i="3" s="1"/>
  <c r="Z15" i="3" s="1"/>
  <c r="Z22" i="3" s="1"/>
  <c r="Y28" i="4"/>
  <c r="Y30" i="4" s="1"/>
  <c r="Y32" i="4" s="1"/>
  <c r="Y12" i="4"/>
  <c r="Y35" i="20"/>
  <c r="Y10" i="3"/>
  <c r="Y13" i="3" s="1"/>
  <c r="Y15" i="3" s="1"/>
  <c r="Y22" i="3" s="1"/>
  <c r="W24" i="4"/>
  <c r="R24" i="4"/>
  <c r="L25" i="4"/>
  <c r="M24" i="4"/>
  <c r="K25" i="4"/>
  <c r="J25" i="4"/>
  <c r="I25" i="4"/>
  <c r="H24" i="4"/>
  <c r="M23" i="4"/>
  <c r="H23" i="4"/>
  <c r="G25" i="4"/>
  <c r="F25" i="4"/>
  <c r="E25" i="4"/>
  <c r="D25" i="4"/>
  <c r="C25" i="4"/>
  <c r="Z39" i="20" l="1"/>
  <c r="Z37" i="20"/>
  <c r="Z16" i="4"/>
  <c r="Z15" i="4"/>
  <c r="Y15" i="4"/>
  <c r="X66" i="20"/>
  <c r="V35" i="19" l="1"/>
  <c r="Q35" i="19"/>
  <c r="L35" i="19"/>
  <c r="G35" i="19"/>
  <c r="V14" i="19"/>
  <c r="Q14" i="19"/>
  <c r="L14" i="19"/>
  <c r="G14" i="19"/>
  <c r="X49" i="20" l="1"/>
  <c r="T50" i="17" l="1"/>
  <c r="T38" i="17"/>
  <c r="T20" i="17"/>
  <c r="T16" i="17"/>
  <c r="W52" i="19"/>
  <c r="W46" i="19"/>
  <c r="W37" i="19"/>
  <c r="W26" i="19"/>
  <c r="X29" i="4"/>
  <c r="X11" i="4"/>
  <c r="X12" i="3"/>
  <c r="X11" i="3"/>
  <c r="AB18" i="16"/>
  <c r="AB13" i="16"/>
  <c r="X19" i="20"/>
  <c r="AB49" i="1" s="1"/>
  <c r="X21" i="4" s="1"/>
  <c r="T51" i="17" l="1"/>
  <c r="T26" i="17"/>
  <c r="W56" i="19"/>
  <c r="AB19" i="16"/>
  <c r="AB60" i="1"/>
  <c r="X19" i="3" s="1"/>
  <c r="AB51" i="1"/>
  <c r="AF51" i="1" s="1"/>
  <c r="AB50" i="1"/>
  <c r="AB48" i="1"/>
  <c r="AF48" i="1" s="1"/>
  <c r="AB47" i="1"/>
  <c r="AF47" i="1" s="1"/>
  <c r="AB35" i="1"/>
  <c r="AB41" i="1" s="1"/>
  <c r="AB28" i="1"/>
  <c r="AB32" i="1" s="1"/>
  <c r="AF32" i="1" s="1"/>
  <c r="AF33" i="1" s="1"/>
  <c r="AB21" i="1"/>
  <c r="AB25" i="1" s="1"/>
  <c r="AF25" i="1" s="1"/>
  <c r="AF26" i="1" s="1"/>
  <c r="AB10" i="1"/>
  <c r="X50" i="20"/>
  <c r="X53" i="20" s="1"/>
  <c r="X61" i="20"/>
  <c r="X20" i="20"/>
  <c r="X12" i="20"/>
  <c r="X13" i="20" s="1"/>
  <c r="AB61" i="1" l="1"/>
  <c r="AF61" i="1" s="1"/>
  <c r="AF50" i="1"/>
  <c r="AF52" i="1"/>
  <c r="AF53" i="1" s="1"/>
  <c r="AB62" i="1"/>
  <c r="AF62" i="1" s="1"/>
  <c r="X23" i="4"/>
  <c r="AB23" i="4" s="1"/>
  <c r="AB26" i="1"/>
  <c r="AB58" i="1"/>
  <c r="AF58" i="1" s="1"/>
  <c r="AF64" i="1" s="1"/>
  <c r="AF65" i="1" s="1"/>
  <c r="X19" i="4"/>
  <c r="AB19" i="4" s="1"/>
  <c r="AB25" i="4" s="1"/>
  <c r="AB59" i="1"/>
  <c r="AF59" i="1" s="1"/>
  <c r="X20" i="4"/>
  <c r="AB20" i="4" s="1"/>
  <c r="X18" i="3"/>
  <c r="AB33" i="1"/>
  <c r="AB42" i="1"/>
  <c r="AB12" i="1"/>
  <c r="AB18" i="1" s="1"/>
  <c r="AB29" i="1"/>
  <c r="AB22" i="1"/>
  <c r="AB36" i="1"/>
  <c r="X63" i="20"/>
  <c r="X68" i="20" s="1"/>
  <c r="X72" i="20" s="1"/>
  <c r="X74" i="20" s="1"/>
  <c r="X22" i="20"/>
  <c r="AB44" i="1" s="1"/>
  <c r="AB45" i="1" s="1"/>
  <c r="X54" i="20"/>
  <c r="AB19" i="1" l="1"/>
  <c r="AF18" i="1"/>
  <c r="AF19" i="1" s="1"/>
  <c r="X25" i="4"/>
  <c r="AB13" i="1"/>
  <c r="AB52" i="1"/>
  <c r="AB53" i="1" s="1"/>
  <c r="X64" i="20"/>
  <c r="X27" i="20"/>
  <c r="X10" i="4" s="1"/>
  <c r="X23" i="20"/>
  <c r="X28" i="4" l="1"/>
  <c r="X12" i="4"/>
  <c r="X31" i="20"/>
  <c r="AB55" i="1"/>
  <c r="S50" i="17"/>
  <c r="S38" i="17"/>
  <c r="S20" i="17"/>
  <c r="S16" i="17"/>
  <c r="V54" i="19"/>
  <c r="V51" i="19"/>
  <c r="V50" i="19"/>
  <c r="V49" i="19"/>
  <c r="V52" i="19" s="1"/>
  <c r="V44" i="19"/>
  <c r="V45" i="19"/>
  <c r="V43" i="19"/>
  <c r="V42" i="19"/>
  <c r="V41" i="19"/>
  <c r="V40" i="19"/>
  <c r="V36" i="19"/>
  <c r="V34" i="19"/>
  <c r="V33" i="19"/>
  <c r="V32" i="19"/>
  <c r="V31" i="19"/>
  <c r="V30" i="19"/>
  <c r="V29" i="19"/>
  <c r="V25" i="19"/>
  <c r="V24" i="19"/>
  <c r="V23" i="19"/>
  <c r="V22" i="19"/>
  <c r="V21" i="19"/>
  <c r="V20" i="19"/>
  <c r="V18" i="19"/>
  <c r="V17" i="19"/>
  <c r="V16" i="19"/>
  <c r="V15" i="19"/>
  <c r="V13" i="19"/>
  <c r="V12" i="19"/>
  <c r="V10" i="19"/>
  <c r="V9" i="19"/>
  <c r="U52" i="19"/>
  <c r="U46" i="19"/>
  <c r="U37" i="19"/>
  <c r="U26" i="19"/>
  <c r="W14" i="3"/>
  <c r="X30" i="4" l="1"/>
  <c r="X32" i="4" s="1"/>
  <c r="AB28" i="4"/>
  <c r="AB30" i="4" s="1"/>
  <c r="AB32" i="4" s="1"/>
  <c r="AB64" i="1"/>
  <c r="AB65" i="1" s="1"/>
  <c r="S26" i="17"/>
  <c r="X16" i="4"/>
  <c r="X15" i="4"/>
  <c r="X35" i="20"/>
  <c r="X39" i="20" s="1"/>
  <c r="X10" i="3"/>
  <c r="X13" i="3" s="1"/>
  <c r="X15" i="3" s="1"/>
  <c r="X22" i="3" s="1"/>
  <c r="S51" i="17"/>
  <c r="V46" i="19"/>
  <c r="V37" i="19"/>
  <c r="U56" i="19"/>
  <c r="V26" i="19"/>
  <c r="X37" i="20" l="1"/>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53" i="20" s="1"/>
  <c r="W49" i="20"/>
  <c r="W33" i="20"/>
  <c r="W29" i="20"/>
  <c r="W25" i="20"/>
  <c r="W19" i="20"/>
  <c r="W18" i="20"/>
  <c r="W17" i="20"/>
  <c r="W16" i="20"/>
  <c r="W11" i="20"/>
  <c r="W9" i="20"/>
  <c r="V66" i="20"/>
  <c r="V61" i="20"/>
  <c r="V53" i="20"/>
  <c r="V54" i="20" s="1"/>
  <c r="V20" i="20"/>
  <c r="V12" i="20"/>
  <c r="V13" i="20" s="1"/>
  <c r="Z26" i="1" l="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4" i="19"/>
  <c r="L34" i="19"/>
  <c r="G34" i="19"/>
  <c r="W27" i="20" l="1"/>
  <c r="W31" i="20" s="1"/>
  <c r="W35" i="20" s="1"/>
  <c r="Z45" i="1"/>
  <c r="Z52" i="1"/>
  <c r="Z53" i="1" s="1"/>
  <c r="V31" i="20"/>
  <c r="V10" i="4"/>
  <c r="Z55" i="1"/>
  <c r="Z64" i="1" s="1"/>
  <c r="R50" i="17"/>
  <c r="R38" i="17"/>
  <c r="R20" i="17"/>
  <c r="R16" i="17"/>
  <c r="T52" i="19"/>
  <c r="T46" i="19"/>
  <c r="T37" i="19"/>
  <c r="T26" i="19"/>
  <c r="U21" i="4"/>
  <c r="U11" i="4"/>
  <c r="V28" i="4" l="1"/>
  <c r="V12" i="4"/>
  <c r="Z65" i="1"/>
  <c r="V35" i="20"/>
  <c r="V10" i="3"/>
  <c r="R51" i="17"/>
  <c r="R26" i="17"/>
  <c r="T56" i="19"/>
  <c r="U12" i="3"/>
  <c r="U11" i="3"/>
  <c r="Y13" i="16"/>
  <c r="Y60" i="1"/>
  <c r="U19" i="3" s="1"/>
  <c r="Y51" i="1"/>
  <c r="Y50" i="1"/>
  <c r="Y61" i="1" s="1"/>
  <c r="Y48" i="1"/>
  <c r="U18" i="3" s="1"/>
  <c r="Y47" i="1"/>
  <c r="Y35" i="1"/>
  <c r="Y41" i="1" s="1"/>
  <c r="Y28" i="1"/>
  <c r="Y32" i="1" s="1"/>
  <c r="Y21" i="1"/>
  <c r="Y25" i="1" s="1"/>
  <c r="Y26" i="1" s="1"/>
  <c r="Y10" i="1"/>
  <c r="U66" i="20"/>
  <c r="U61" i="20"/>
  <c r="U53" i="20"/>
  <c r="U20" i="20"/>
  <c r="U12" i="20"/>
  <c r="Y12" i="1" s="1"/>
  <c r="Y18" i="1" s="1"/>
  <c r="Y19" i="1" s="1"/>
  <c r="Y33" i="1" l="1"/>
  <c r="U13" i="20"/>
  <c r="U22" i="20"/>
  <c r="U23" i="20" s="1"/>
  <c r="Y42" i="1"/>
  <c r="Y58" i="1"/>
  <c r="U19" i="4"/>
  <c r="Y59" i="1"/>
  <c r="U20" i="4"/>
  <c r="Y62" i="1"/>
  <c r="U23" i="4"/>
  <c r="V30" i="4"/>
  <c r="V32" i="4" s="1"/>
  <c r="V13" i="3"/>
  <c r="V15" i="3" s="1"/>
  <c r="V22" i="3" s="1"/>
  <c r="V39" i="20"/>
  <c r="V37" i="20"/>
  <c r="V16" i="4" s="1"/>
  <c r="V15" i="4" s="1"/>
  <c r="Y44" i="1"/>
  <c r="Y52" i="1" s="1"/>
  <c r="Y53" i="1" s="1"/>
  <c r="U27" i="20"/>
  <c r="Y19" i="16"/>
  <c r="Y13" i="1"/>
  <c r="Y29" i="1"/>
  <c r="Y36" i="1"/>
  <c r="Y22" i="1"/>
  <c r="U63" i="20"/>
  <c r="U64" i="20" s="1"/>
  <c r="U54" i="20"/>
  <c r="Y45" i="1" l="1"/>
  <c r="U25" i="4"/>
  <c r="U68" i="20"/>
  <c r="U72" i="20" s="1"/>
  <c r="U74" i="20" s="1"/>
  <c r="U10" i="4"/>
  <c r="Y55" i="1"/>
  <c r="U31" i="20"/>
  <c r="Q20" i="20"/>
  <c r="R29" i="20"/>
  <c r="R25" i="20"/>
  <c r="R60" i="20"/>
  <c r="S61" i="20"/>
  <c r="R70" i="20"/>
  <c r="R66" i="20"/>
  <c r="R59" i="20"/>
  <c r="R58" i="20"/>
  <c r="R57" i="20"/>
  <c r="Y64" i="1" l="1"/>
  <c r="Y65" i="1" s="1"/>
  <c r="U35" i="20"/>
  <c r="U10" i="3"/>
  <c r="U13" i="3" s="1"/>
  <c r="U15" i="3" s="1"/>
  <c r="U22" i="3" s="1"/>
  <c r="U12" i="4"/>
  <c r="U28" i="4"/>
  <c r="U30" i="4" s="1"/>
  <c r="U32" i="4" s="1"/>
  <c r="R61" i="20"/>
  <c r="U37" i="20" l="1"/>
  <c r="U16" i="4" s="1"/>
  <c r="U15" i="4" s="1"/>
  <c r="U39" i="20"/>
  <c r="R52" i="20"/>
  <c r="R50" i="20"/>
  <c r="R19" i="20"/>
  <c r="R18" i="20"/>
  <c r="R16" i="20"/>
  <c r="T20" i="20"/>
  <c r="T61" i="20"/>
  <c r="S12" i="20"/>
  <c r="Q50" i="17" l="1"/>
  <c r="Q38" i="17"/>
  <c r="Q20" i="17"/>
  <c r="Q16" i="17"/>
  <c r="Q51" i="17" l="1"/>
  <c r="Q26" i="17"/>
  <c r="R33" i="20" l="1"/>
  <c r="R17" i="20"/>
  <c r="R20" i="20" s="1"/>
  <c r="R11" i="20"/>
  <c r="R9" i="20"/>
  <c r="T66" i="20" l="1"/>
  <c r="W66" i="20" s="1"/>
  <c r="W68" i="20" s="1"/>
  <c r="W72" i="20" s="1"/>
  <c r="W74" i="20" s="1"/>
  <c r="S29" i="4" l="1"/>
  <c r="W29" i="4" s="1"/>
  <c r="P50" i="17" l="1"/>
  <c r="P38" i="17"/>
  <c r="P20" i="17"/>
  <c r="P16" i="17"/>
  <c r="P26" i="17" s="1"/>
  <c r="S52" i="19"/>
  <c r="R52" i="19"/>
  <c r="S46" i="19"/>
  <c r="R46" i="19"/>
  <c r="S37" i="19"/>
  <c r="R37" i="19"/>
  <c r="S26" i="19"/>
  <c r="R26" i="19"/>
  <c r="T21" i="4"/>
  <c r="S21" i="4"/>
  <c r="W21" i="4" s="1"/>
  <c r="T11" i="4"/>
  <c r="S11" i="4"/>
  <c r="W11" i="4" s="1"/>
  <c r="T12" i="3"/>
  <c r="S12" i="3"/>
  <c r="T11" i="3"/>
  <c r="S11" i="3"/>
  <c r="W11" i="3" s="1"/>
  <c r="W12" i="3" l="1"/>
  <c r="P51" i="17"/>
  <c r="S56" i="19"/>
  <c r="R56" i="19"/>
  <c r="X18" i="16"/>
  <c r="X13" i="16"/>
  <c r="W13" i="16"/>
  <c r="AA13" i="16" s="1"/>
  <c r="AA19" i="16" s="1"/>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0" i="1" l="1"/>
  <c r="AA47" i="1"/>
  <c r="AA60" i="1"/>
  <c r="AA28" i="1"/>
  <c r="AA29" i="1" s="1"/>
  <c r="AA22" i="1"/>
  <c r="S22" i="4"/>
  <c r="W22" i="4" s="1"/>
  <c r="AA50" i="1"/>
  <c r="W41" i="1"/>
  <c r="W42" i="1" s="1"/>
  <c r="AA35" i="1"/>
  <c r="S23" i="4"/>
  <c r="AA51" i="1"/>
  <c r="W18" i="1"/>
  <c r="W19" i="1" s="1"/>
  <c r="V56" i="19"/>
  <c r="T13" i="20"/>
  <c r="T22" i="20"/>
  <c r="T23" i="20" s="1"/>
  <c r="W58" i="1"/>
  <c r="S19" i="4"/>
  <c r="W59" i="1"/>
  <c r="S20" i="4"/>
  <c r="X19" i="16"/>
  <c r="X62" i="1"/>
  <c r="T23" i="4"/>
  <c r="X59" i="1"/>
  <c r="T18" i="3"/>
  <c r="W18" i="3" s="1"/>
  <c r="T20" i="4"/>
  <c r="X58" i="1"/>
  <c r="T19" i="4"/>
  <c r="X22" i="1"/>
  <c r="W29" i="1"/>
  <c r="W13" i="1"/>
  <c r="W22" i="1"/>
  <c r="W25" i="1"/>
  <c r="AA25" i="1" s="1"/>
  <c r="AA26" i="1" s="1"/>
  <c r="X12" i="1"/>
  <c r="X18" i="1" s="1"/>
  <c r="X19" i="1" s="1"/>
  <c r="X26" i="1"/>
  <c r="X33" i="1"/>
  <c r="X42" i="1"/>
  <c r="W18" i="16"/>
  <c r="W19" i="16" s="1"/>
  <c r="W61" i="1"/>
  <c r="AA61" i="1" s="1"/>
  <c r="W62" i="1"/>
  <c r="W32" i="1"/>
  <c r="AA32" i="1" s="1"/>
  <c r="AA33" i="1" s="1"/>
  <c r="X36" i="1"/>
  <c r="X29" i="1"/>
  <c r="W36" i="1"/>
  <c r="S63" i="20"/>
  <c r="S68" i="20" s="1"/>
  <c r="S72" i="20" s="1"/>
  <c r="S74" i="20" s="1"/>
  <c r="T63" i="20"/>
  <c r="T68" i="20" s="1"/>
  <c r="T72" i="20" s="1"/>
  <c r="T74" i="20" s="1"/>
  <c r="S22" i="20"/>
  <c r="W44" i="1" s="1"/>
  <c r="S13" i="20"/>
  <c r="AA59" i="1" l="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0" i="17"/>
  <c r="J26" i="17" s="1"/>
  <c r="AA52" i="1" l="1"/>
  <c r="AA53" i="1" s="1"/>
  <c r="AA45" i="1"/>
  <c r="W25" i="4"/>
  <c r="S31" i="20"/>
  <c r="S35" i="20" s="1"/>
  <c r="S10" i="4"/>
  <c r="X52" i="1"/>
  <c r="X53" i="1" s="1"/>
  <c r="X45" i="1"/>
  <c r="T31" i="20"/>
  <c r="T10" i="4"/>
  <c r="X55" i="1"/>
  <c r="W65" i="1"/>
  <c r="Q29" i="4"/>
  <c r="X64" i="1" l="1"/>
  <c r="X65" i="1" s="1"/>
  <c r="AA55" i="1"/>
  <c r="S12" i="4"/>
  <c r="W10" i="4"/>
  <c r="W12" i="4" s="1"/>
  <c r="S10" i="3"/>
  <c r="S39" i="20"/>
  <c r="S37" i="20"/>
  <c r="S16" i="4" s="1"/>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37" i="20"/>
  <c r="T16" i="4" s="1"/>
  <c r="T15" i="4" s="1"/>
  <c r="T39" i="20"/>
  <c r="K50" i="17"/>
  <c r="O50" i="17"/>
  <c r="K38" i="17"/>
  <c r="O38" i="17"/>
  <c r="K20" i="17"/>
  <c r="K16" i="17"/>
  <c r="K26" i="17" s="1"/>
  <c r="O20" i="17"/>
  <c r="O16" i="17"/>
  <c r="Q54" i="19"/>
  <c r="P52" i="19"/>
  <c r="Q51" i="19"/>
  <c r="Q50" i="19"/>
  <c r="Q49" i="19"/>
  <c r="P46" i="19"/>
  <c r="Q44" i="19"/>
  <c r="Q45" i="19"/>
  <c r="Q43" i="19"/>
  <c r="Q42" i="19"/>
  <c r="Q41" i="19"/>
  <c r="Q40" i="19"/>
  <c r="P37" i="19"/>
  <c r="Q36" i="19"/>
  <c r="Q33" i="19"/>
  <c r="Q32" i="19"/>
  <c r="Q31" i="19"/>
  <c r="Q30" i="19"/>
  <c r="Q29" i="19"/>
  <c r="P26" i="19"/>
  <c r="Q25" i="19"/>
  <c r="Q24" i="19"/>
  <c r="Q23" i="19"/>
  <c r="Q22" i="19"/>
  <c r="Q21" i="19"/>
  <c r="Q20" i="19"/>
  <c r="Q18" i="19"/>
  <c r="Q17" i="19"/>
  <c r="Q16" i="19"/>
  <c r="Q15" i="19"/>
  <c r="Q13" i="19"/>
  <c r="Q12" i="19"/>
  <c r="Q10" i="19"/>
  <c r="Q9" i="19"/>
  <c r="Q21" i="4"/>
  <c r="R29" i="4"/>
  <c r="R22" i="4"/>
  <c r="R21" i="3"/>
  <c r="R20" i="3"/>
  <c r="R14" i="3"/>
  <c r="Q12" i="3"/>
  <c r="Q11" i="3"/>
  <c r="W39" i="20" l="1"/>
  <c r="W37" i="20"/>
  <c r="P56" i="19"/>
  <c r="O26" i="17"/>
  <c r="O51" i="17"/>
  <c r="K51" i="17"/>
  <c r="Q11" i="4"/>
  <c r="Q52" i="19"/>
  <c r="Q46" i="19"/>
  <c r="Q37" i="19"/>
  <c r="Q26"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0" i="17"/>
  <c r="N38" i="17"/>
  <c r="N20" i="17"/>
  <c r="N16" i="17"/>
  <c r="O52" i="19"/>
  <c r="O46" i="19"/>
  <c r="O37" i="19"/>
  <c r="O26"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6" i="17" l="1"/>
  <c r="R31" i="20"/>
  <c r="R35" i="20" s="1"/>
  <c r="P19" i="4"/>
  <c r="R23" i="20"/>
  <c r="T12" i="1"/>
  <c r="T18" i="1" s="1"/>
  <c r="T19" i="1" s="1"/>
  <c r="R64" i="20"/>
  <c r="Q31" i="20"/>
  <c r="U55" i="1"/>
  <c r="U64" i="1" s="1"/>
  <c r="U52" i="1"/>
  <c r="U53" i="1" s="1"/>
  <c r="U45" i="1"/>
  <c r="N51" i="17"/>
  <c r="O56" i="19"/>
  <c r="P23" i="4"/>
  <c r="P18" i="3"/>
  <c r="P20" i="4"/>
  <c r="P63" i="20"/>
  <c r="P68" i="20" s="1"/>
  <c r="P72" i="20" s="1"/>
  <c r="P22" i="20"/>
  <c r="P27" i="20" s="1"/>
  <c r="P31" i="20" s="1"/>
  <c r="P35" i="20" s="1"/>
  <c r="T26" i="1"/>
  <c r="T33" i="1"/>
  <c r="T42" i="1"/>
  <c r="T19" i="16"/>
  <c r="T22" i="1"/>
  <c r="T29" i="1"/>
  <c r="T36" i="1"/>
  <c r="P25" i="4" l="1"/>
  <c r="T13" i="1"/>
  <c r="P39" i="20"/>
  <c r="P37" i="20"/>
  <c r="P16" i="4" s="1"/>
  <c r="P15" i="4" s="1"/>
  <c r="P64" i="20"/>
  <c r="P23" i="20"/>
  <c r="Q10" i="4"/>
  <c r="U65" i="1"/>
  <c r="Q35" i="20"/>
  <c r="Q37" i="20" s="1"/>
  <c r="Q16" i="4" s="1"/>
  <c r="Q15" i="4" s="1"/>
  <c r="Q10" i="3"/>
  <c r="Q13" i="3" s="1"/>
  <c r="Q15" i="3" s="1"/>
  <c r="Q22" i="3" s="1"/>
  <c r="P10" i="3"/>
  <c r="P13" i="3" s="1"/>
  <c r="P15" i="3" s="1"/>
  <c r="P22" i="3" s="1"/>
  <c r="T55" i="1"/>
  <c r="P10" i="4"/>
  <c r="P12" i="4" s="1"/>
  <c r="T44" i="1"/>
  <c r="L32" i="19"/>
  <c r="G32" i="19"/>
  <c r="T64" i="1" l="1"/>
  <c r="T65" i="1" s="1"/>
  <c r="Q28" i="4"/>
  <c r="Q30" i="4" s="1"/>
  <c r="Q32" i="4" s="1"/>
  <c r="Q12" i="4"/>
  <c r="P28" i="4"/>
  <c r="P30" i="4" s="1"/>
  <c r="P32" i="4" s="1"/>
  <c r="T52" i="1"/>
  <c r="T53" i="1" s="1"/>
  <c r="T45" i="1"/>
  <c r="M50" i="17"/>
  <c r="L50" i="17"/>
  <c r="M38" i="17"/>
  <c r="L38" i="17"/>
  <c r="H25" i="17"/>
  <c r="G25" i="17"/>
  <c r="F25" i="17"/>
  <c r="E25" i="17"/>
  <c r="D25" i="17"/>
  <c r="C25" i="17"/>
  <c r="M20" i="17"/>
  <c r="L20" i="17"/>
  <c r="M16" i="17"/>
  <c r="L16" i="17"/>
  <c r="N52" i="19"/>
  <c r="M52" i="19"/>
  <c r="N46" i="19"/>
  <c r="M46" i="19"/>
  <c r="N37" i="19"/>
  <c r="M37" i="19"/>
  <c r="N26" i="19"/>
  <c r="M26"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R21" i="4" s="1"/>
  <c r="S48" i="1"/>
  <c r="R48" i="1"/>
  <c r="L47" i="1"/>
  <c r="H47" i="1"/>
  <c r="H52" i="1" s="1"/>
  <c r="I47" i="1"/>
  <c r="I52" i="1" s="1"/>
  <c r="J47" i="1"/>
  <c r="J58" i="1" s="1"/>
  <c r="K47" i="1"/>
  <c r="K52" i="1" s="1"/>
  <c r="M47" i="1"/>
  <c r="M58" i="1" s="1"/>
  <c r="N47" i="1"/>
  <c r="N58" i="1" s="1"/>
  <c r="O47" i="1"/>
  <c r="O52" i="1" s="1"/>
  <c r="S47" i="1"/>
  <c r="O19" i="4" s="1"/>
  <c r="R47" i="1"/>
  <c r="N64" i="1" l="1"/>
  <c r="L62" i="1"/>
  <c r="M64" i="1"/>
  <c r="J64" i="1"/>
  <c r="V13" i="16"/>
  <c r="V19" i="16" s="1"/>
  <c r="S59" i="1"/>
  <c r="O18" i="3"/>
  <c r="R18" i="3" s="1"/>
  <c r="R61" i="1"/>
  <c r="V61" i="1" s="1"/>
  <c r="V50" i="1"/>
  <c r="R59" i="1"/>
  <c r="V48" i="1"/>
  <c r="R62" i="1"/>
  <c r="V62" i="1" s="1"/>
  <c r="V51" i="1"/>
  <c r="M56" i="19"/>
  <c r="L26" i="17"/>
  <c r="N19" i="4"/>
  <c r="V47" i="1"/>
  <c r="M26" i="17"/>
  <c r="S19" i="16"/>
  <c r="L51" i="17"/>
  <c r="R11" i="3"/>
  <c r="R12" i="3"/>
  <c r="R11" i="4"/>
  <c r="M51" i="17"/>
  <c r="N56" i="19"/>
  <c r="R58" i="1"/>
  <c r="M52" i="1"/>
  <c r="H58" i="1"/>
  <c r="H64" i="1" s="1"/>
  <c r="O20" i="4"/>
  <c r="N52" i="1"/>
  <c r="I58" i="1"/>
  <c r="I64" i="1" s="1"/>
  <c r="S58" i="1"/>
  <c r="K58" i="1"/>
  <c r="K64" i="1" s="1"/>
  <c r="J52" i="1"/>
  <c r="O58" i="1"/>
  <c r="O64" i="1" s="1"/>
  <c r="R18" i="16"/>
  <c r="N20" i="4"/>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R23" i="4" l="1"/>
  <c r="V59" i="1"/>
  <c r="O25" i="4"/>
  <c r="R19" i="4"/>
  <c r="N25" i="4"/>
  <c r="R20" i="4"/>
  <c r="V58" i="1"/>
  <c r="M58" i="19"/>
  <c r="N57" i="19" s="1"/>
  <c r="N58" i="19" s="1"/>
  <c r="O57" i="19" s="1"/>
  <c r="O58" i="19" s="1"/>
  <c r="P57" i="19" s="1"/>
  <c r="P58" i="19" s="1"/>
  <c r="R57" i="19" s="1"/>
  <c r="R58" i="19" s="1"/>
  <c r="S57" i="19" s="1"/>
  <c r="S58" i="19" s="1"/>
  <c r="T57" i="19" s="1"/>
  <c r="T58" i="19" s="1"/>
  <c r="U57" i="19" s="1"/>
  <c r="U58" i="19" s="1"/>
  <c r="W57" i="19" s="1"/>
  <c r="W58" i="19" s="1"/>
  <c r="Q56"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58"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58" i="19"/>
  <c r="J58" i="19"/>
  <c r="I58" i="19"/>
  <c r="H58" i="19"/>
  <c r="L56" i="19"/>
  <c r="L58" i="19" s="1"/>
  <c r="Q57" i="19" s="1"/>
  <c r="Q58" i="19" s="1"/>
  <c r="V57" i="19" s="1"/>
  <c r="V58" i="19" s="1"/>
  <c r="X58" i="19" s="1"/>
  <c r="Y57" i="19" s="1"/>
  <c r="Y58" i="19" s="1"/>
  <c r="Z57" i="19" s="1"/>
  <c r="Z58" i="19" s="1"/>
  <c r="L54" i="19"/>
  <c r="L51" i="19"/>
  <c r="L50" i="19"/>
  <c r="L49" i="19"/>
  <c r="K52" i="19"/>
  <c r="J52" i="19"/>
  <c r="I52" i="19"/>
  <c r="H52" i="19"/>
  <c r="K46" i="19"/>
  <c r="J46" i="19"/>
  <c r="I46" i="19"/>
  <c r="H46" i="19"/>
  <c r="L44" i="19"/>
  <c r="L45" i="19"/>
  <c r="L43" i="19"/>
  <c r="L42" i="19"/>
  <c r="L41" i="19"/>
  <c r="L40" i="19"/>
  <c r="K37" i="19"/>
  <c r="J37" i="19"/>
  <c r="I37" i="19"/>
  <c r="H37" i="19"/>
  <c r="L36" i="19"/>
  <c r="L33" i="19"/>
  <c r="L31" i="19"/>
  <c r="L30" i="19"/>
  <c r="L29" i="19"/>
  <c r="K26" i="19"/>
  <c r="J26" i="19"/>
  <c r="I26" i="19"/>
  <c r="H26" i="19"/>
  <c r="L25" i="19"/>
  <c r="L24" i="19"/>
  <c r="L23" i="19"/>
  <c r="L22" i="19"/>
  <c r="L21" i="19"/>
  <c r="L20" i="19"/>
  <c r="L18" i="19"/>
  <c r="L17" i="19"/>
  <c r="L16" i="19"/>
  <c r="L15" i="19"/>
  <c r="L13" i="19"/>
  <c r="L12" i="19"/>
  <c r="L10" i="19"/>
  <c r="L9" i="19"/>
  <c r="D58" i="19"/>
  <c r="F58" i="19"/>
  <c r="D52" i="19"/>
  <c r="E52" i="19"/>
  <c r="F52" i="19"/>
  <c r="C52" i="19"/>
  <c r="D46" i="19"/>
  <c r="E46" i="19"/>
  <c r="F46" i="19"/>
  <c r="C46" i="19"/>
  <c r="D37" i="19"/>
  <c r="E37" i="19"/>
  <c r="F37" i="19"/>
  <c r="C37" i="19"/>
  <c r="D26" i="19"/>
  <c r="E26" i="19"/>
  <c r="F26" i="19"/>
  <c r="C26" i="19"/>
  <c r="G54" i="19"/>
  <c r="G50" i="19"/>
  <c r="G51" i="19"/>
  <c r="G49" i="19"/>
  <c r="G40" i="19"/>
  <c r="G41" i="19"/>
  <c r="G42" i="19"/>
  <c r="G43" i="19"/>
  <c r="G45" i="19"/>
  <c r="G44" i="19"/>
  <c r="G30" i="19"/>
  <c r="G31" i="19"/>
  <c r="G33" i="19"/>
  <c r="G36" i="19"/>
  <c r="G29" i="19"/>
  <c r="G13" i="19"/>
  <c r="G15" i="19"/>
  <c r="G16" i="19"/>
  <c r="G17" i="19"/>
  <c r="G18" i="19"/>
  <c r="G20" i="19"/>
  <c r="G21" i="19"/>
  <c r="G22" i="19"/>
  <c r="G23" i="19"/>
  <c r="G24" i="19"/>
  <c r="G25" i="19"/>
  <c r="G12" i="19"/>
  <c r="G10" i="19"/>
  <c r="G9" i="19"/>
  <c r="N31" i="20" l="1"/>
  <c r="N10" i="3" s="1"/>
  <c r="V45" i="1"/>
  <c r="V52" i="1"/>
  <c r="V53" i="1" s="1"/>
  <c r="R55" i="1"/>
  <c r="R64" i="1" s="1"/>
  <c r="O31" i="20"/>
  <c r="O10" i="4"/>
  <c r="R10" i="4" s="1"/>
  <c r="R12" i="4" s="1"/>
  <c r="S55" i="1"/>
  <c r="S19" i="1"/>
  <c r="N12" i="4"/>
  <c r="N28" i="4"/>
  <c r="S52" i="1"/>
  <c r="S53" i="1" s="1"/>
  <c r="S45" i="1"/>
  <c r="L52" i="19"/>
  <c r="G52" i="19"/>
  <c r="G37" i="19"/>
  <c r="L37" i="19"/>
  <c r="C56" i="19"/>
  <c r="C58" i="19" s="1"/>
  <c r="L46" i="19"/>
  <c r="L26" i="19"/>
  <c r="G26" i="19"/>
  <c r="G46" i="19"/>
  <c r="S64" i="1" l="1"/>
  <c r="S65" i="1" s="1"/>
  <c r="N35" i="20"/>
  <c r="V55" i="1"/>
  <c r="R65" i="1"/>
  <c r="O28" i="4"/>
  <c r="O30" i="4" s="1"/>
  <c r="O32" i="4" s="1"/>
  <c r="O12" i="4"/>
  <c r="O35" i="20"/>
  <c r="O10" i="3"/>
  <c r="O13" i="3" s="1"/>
  <c r="O15" i="3" s="1"/>
  <c r="O22" i="3" s="1"/>
  <c r="N13" i="3"/>
  <c r="N15" i="3" s="1"/>
  <c r="N22" i="3" s="1"/>
  <c r="N30" i="4"/>
  <c r="N32" i="4" s="1"/>
  <c r="G56" i="19"/>
  <c r="G58"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39" i="20"/>
  <c r="O37" i="20"/>
  <c r="O16" i="4" s="1"/>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25"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36" i="1"/>
  <c r="L52" i="1"/>
  <c r="L53" i="1" s="1"/>
  <c r="L45" i="1"/>
  <c r="L13" i="1"/>
  <c r="L22" i="1"/>
  <c r="L33" i="1"/>
  <c r="L29" i="1"/>
  <c r="L41" i="1"/>
  <c r="L42" i="1" s="1"/>
  <c r="L65" i="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M25" i="4" s="1"/>
  <c r="L11" i="4"/>
  <c r="M11" i="4" s="1"/>
  <c r="L10" i="4"/>
  <c r="L12" i="4" s="1"/>
  <c r="M14" i="3"/>
  <c r="M12" i="3"/>
  <c r="M11" i="3"/>
  <c r="M10" i="3"/>
  <c r="L22" i="3"/>
  <c r="M13" i="3" l="1"/>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52" i="1"/>
  <c r="P53" i="1" s="1"/>
  <c r="Q22" i="1"/>
  <c r="Q29" i="1"/>
  <c r="Q41" i="1"/>
  <c r="Q42" i="1" s="1"/>
  <c r="Q51" i="1"/>
  <c r="Q48" i="1"/>
  <c r="Q18" i="1"/>
  <c r="P19" i="1"/>
  <c r="P45" i="1"/>
  <c r="P26" i="1"/>
  <c r="Q25" i="1"/>
  <c r="Q26" i="1" s="1"/>
  <c r="Q32" i="1"/>
  <c r="Q33" i="1" s="1"/>
  <c r="P64" i="1" l="1"/>
  <c r="P65" i="1" s="1"/>
  <c r="Q52" i="1"/>
  <c r="Q53" i="1" s="1"/>
  <c r="Q59" i="1"/>
  <c r="Q58" i="1"/>
  <c r="Q19" i="1"/>
  <c r="Q45" i="1"/>
  <c r="Q13" i="1"/>
  <c r="G65" i="1"/>
  <c r="G47" i="1"/>
  <c r="G52" i="1" s="1"/>
  <c r="G53" i="1" s="1"/>
  <c r="Q64" i="1" l="1"/>
  <c r="Q65" i="1"/>
</calcChain>
</file>

<file path=xl/sharedStrings.xml><?xml version="1.0" encoding="utf-8"?>
<sst xmlns="http://schemas.openxmlformats.org/spreadsheetml/2006/main" count="470" uniqueCount="222">
  <si>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</si>
  <si>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</si>
  <si>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</si>
  <si>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</si>
  <si>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</si>
  <si>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</si>
  <si>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</si>
  <si>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</si>
  <si>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</si>
  <si>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</si>
  <si>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</si>
  <si>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</si>
  <si>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</si>
  <si>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</si>
  <si>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</si>
  <si>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</si>
  <si>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</si>
  <si>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</si>
  <si>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</si>
  <si>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</si>
  <si>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</si>
  <si>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</si>
  <si>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</si>
  <si>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</si>
  <si>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</si>
  <si>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</si>
  <si>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</si>
  <si>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</si>
  <si>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</si>
  <si>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</si>
  <si>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</si>
  <si>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</si>
  <si>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</si>
  <si>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</si>
  <si>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</si>
  <si>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</si>
  <si>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</si>
  <si>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</si>
  <si>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</si>
  <si>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</si>
  <si>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</si>
  <si>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</si>
  <si>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</si>
  <si>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</si>
  <si>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</si>
  <si>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</si>
  <si>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</si>
  <si>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</si>
  <si>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</si>
  <si>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</si>
  <si>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</si>
  <si>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</si>
  <si>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</si>
  <si>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</si>
  <si>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</si>
  <si>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</si>
  <si>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</si>
  <si>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</si>
  <si>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</si>
  <si>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</si>
  <si>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</si>
  <si>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</si>
  <si>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</si>
  <si>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</si>
  <si>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</si>
  <si>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</si>
  <si>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</si>
  <si>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</si>
  <si>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</si>
  <si>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</si>
  <si>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</si>
  <si>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</si>
  <si>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</si>
  <si>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</si>
  <si>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</si>
  <si>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</si>
  <si>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</si>
  <si>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</si>
  <si>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</si>
  <si>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</si>
  <si>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</si>
  <si>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</si>
  <si>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</si>
  <si>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</si>
  <si>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</si>
  <si>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</si>
  <si>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</si>
  <si>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</si>
  <si>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</si>
  <si>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</si>
  <si>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</si>
  <si>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</si>
  <si>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</si>
  <si>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</si>
  <si>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</si>
  <si>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</si>
  <si>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</si>
  <si>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</si>
  <si>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</si>
  <si>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</si>
  <si>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</si>
  <si>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</si>
  <si>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</si>
  <si>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</si>
  <si>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</si>
  <si>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</si>
  <si>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</si>
  <si>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</si>
  <si>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</si>
  <si>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</si>
  <si>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</si>
  <si>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</si>
  <si>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</si>
  <si>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</si>
  <si>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</si>
  <si>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</si>
  <si>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</si>
  <si>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</si>
  <si>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</si>
  <si>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</si>
  <si>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</si>
  <si>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</si>
  <si>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</si>
  <si>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</si>
  <si>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</si>
  <si>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</si>
  <si>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</si>
  <si>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</si>
  <si>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</si>
  <si>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</si>
  <si>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</si>
  <si>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</si>
  <si>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</si>
  <si>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</si>
  <si>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</si>
  <si>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</si>
  <si>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</si>
  <si>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</si>
  <si>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</si>
  <si>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</si>
  <si>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</si>
  <si>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</si>
  <si>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</si>
  <si>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</si>
  <si>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</si>
  <si>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</si>
  <si>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</si>
  <si>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</si>
  <si>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</si>
  <si>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</si>
  <si>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</si>
  <si>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</si>
  <si>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</si>
  <si>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</si>
  <si>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</si>
  <si>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</si>
  <si>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</si>
  <si>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</si>
  <si>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</si>
  <si>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</si>
  <si>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</si>
  <si>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</si>
  <si>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</si>
  <si>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</si>
  <si>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</si>
  <si>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</si>
  <si>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</si>
  <si>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</si>
  <si>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</si>
  <si>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</si>
  <si>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</si>
  <si>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</si>
  <si>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</si>
  <si>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</si>
  <si>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</si>
  <si>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</si>
  <si>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</si>
  <si>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</si>
  <si>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</si>
  <si>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</si>
  <si>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</si>
  <si>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</si>
  <si>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</si>
  <si>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</si>
  <si>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</si>
  <si>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</si>
  <si>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</si>
  <si>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</si>
  <si>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</si>
  <si>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</si>
  <si>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</si>
  <si>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</si>
  <si>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</si>
  <si>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</si>
  <si>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</si>
  <si>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</si>
  <si>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</si>
  <si>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</si>
  <si>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</si>
  <si>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</si>
  <si>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</si>
  <si>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</si>
  <si>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</si>
  <si>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</si>
  <si>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</si>
  <si>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</si>
  <si>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</si>
  <si>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</si>
  <si>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</si>
  <si>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</si>
  <si>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</si>
  <si>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</si>
  <si>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</si>
  <si>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</si>
  <si>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</si>
  <si>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</si>
  <si>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</si>
  <si>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</si>
  <si>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FY 22</t>
  </si>
  <si>
    <t>Q4 22</t>
  </si>
  <si>
    <t>LiveRamp Financial Data - FY17 to Q1 FY23</t>
  </si>
  <si>
    <t>Q1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</si>
</sst>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13">
    <xf numFmtId="0" fontId="0" fillId="0" borderId="0" xfId="0"/>
    <xf numFmtId="0" fontId="10" fillId="0" borderId="0" xfId="0" applyFont="1"/>
    <xf numFmtId="0" fontId="13" fillId="0" borderId="0" xfId="0" applyFont="1" applyFill="1" applyProtection="1">
      <protection locked="0"/>
    </xf>
    <xf numFmtId="0" fontId="14" fillId="0" borderId="0" xfId="9" applyFont="1"/>
    <xf numFmtId="0" fontId="14" fillId="0" borderId="0" xfId="9" applyFont="1" applyFill="1" applyProtection="1">
      <protection locked="0"/>
    </xf>
    <xf numFmtId="0" fontId="15" fillId="0" borderId="0" xfId="0" applyFont="1" applyFill="1"/>
    <xf numFmtId="0" fontId="10" fillId="0" borderId="0" xfId="0" applyFont="1" applyFill="1"/>
    <xf numFmtId="0" fontId="16" fillId="0" borderId="0" xfId="9" applyFont="1" applyAlignment="1">
      <alignment horizontal="left" vertical="top"/>
    </xf>
    <xf numFmtId="0" fontId="17" fillId="0" borderId="0" xfId="0" applyFont="1" applyFill="1" applyBorder="1"/>
    <xf numFmtId="0" fontId="10" fillId="0" borderId="0" xfId="0" applyFont="1" applyBorder="1"/>
    <xf numFmtId="0" fontId="10" fillId="0" borderId="0" xfId="0" applyFont="1" applyFill="1" applyBorder="1"/>
    <xf numFmtId="0" fontId="17" fillId="0" borderId="1" xfId="0" applyFont="1" applyFill="1" applyBorder="1"/>
    <xf numFmtId="0" fontId="10" fillId="0" borderId="1" xfId="0" applyFont="1" applyBorder="1"/>
    <xf numFmtId="0" fontId="10" fillId="0" borderId="1" xfId="0" applyFont="1" applyFill="1" applyBorder="1"/>
    <xf numFmtId="0" fontId="12" fillId="0" borderId="20" xfId="3" applyFont="1" applyFill="1" applyBorder="1"/>
    <xf numFmtId="170" fontId="13" fillId="0" borderId="20" xfId="3" applyNumberFormat="1" applyFont="1" applyFill="1" applyBorder="1" applyAlignment="1">
      <alignment horizontal="center"/>
    </xf>
    <xf numFmtId="0" fontId="12" fillId="0" borderId="0" xfId="0" applyFont="1"/>
    <xf numFmtId="42" fontId="12" fillId="0" borderId="0" xfId="3" applyNumberFormat="1" applyFont="1" applyFill="1" applyBorder="1"/>
    <xf numFmtId="0" fontId="12" fillId="0" borderId="0" xfId="3" applyFont="1" applyFill="1"/>
    <xf numFmtId="38" fontId="12" fillId="0" borderId="0" xfId="3" applyNumberFormat="1" applyFont="1" applyFill="1" applyBorder="1"/>
    <xf numFmtId="0" fontId="12" fillId="0" borderId="1" xfId="0" applyFont="1" applyBorder="1"/>
    <xf numFmtId="38" fontId="12" fillId="0" borderId="1" xfId="3" applyNumberFormat="1" applyFont="1" applyFill="1" applyBorder="1"/>
    <xf numFmtId="38" fontId="12" fillId="0" borderId="0" xfId="4" applyNumberFormat="1" applyFont="1" applyFill="1"/>
    <xf numFmtId="0" fontId="13" fillId="0" borderId="0" xfId="0" applyFont="1"/>
    <xf numFmtId="164" fontId="13" fillId="0" borderId="0" xfId="2" applyNumberFormat="1" applyFont="1" applyFill="1"/>
    <xf numFmtId="38" fontId="12" fillId="0" borderId="0" xfId="4" applyNumberFormat="1" applyFont="1" applyFill="1" applyBorder="1"/>
    <xf numFmtId="38" fontId="12" fillId="0" borderId="1" xfId="4" applyNumberFormat="1" applyFont="1" applyFill="1" applyBorder="1"/>
    <xf numFmtId="37" fontId="12" fillId="0" borderId="1" xfId="4" applyNumberFormat="1" applyFont="1" applyFill="1" applyBorder="1"/>
    <xf numFmtId="0" fontId="12" fillId="0" borderId="0" xfId="3" applyFont="1"/>
    <xf numFmtId="164" fontId="12" fillId="0" borderId="0" xfId="2" applyNumberFormat="1" applyFont="1" applyFill="1" applyBorder="1"/>
    <xf numFmtId="37" fontId="12" fillId="0" borderId="0" xfId="3" applyNumberFormat="1" applyFont="1" applyFill="1" applyBorder="1"/>
    <xf numFmtId="0" fontId="18" fillId="0" borderId="0" xfId="3" applyFont="1"/>
    <xf numFmtId="164" fontId="18" fillId="0" borderId="0" xfId="2" applyNumberFormat="1" applyFont="1" applyFill="1" applyBorder="1"/>
    <xf numFmtId="37" fontId="12" fillId="0" borderId="0" xfId="4" applyNumberFormat="1" applyFont="1" applyFill="1" applyBorder="1" applyAlignment="1">
      <alignment horizontal="right"/>
    </xf>
    <xf numFmtId="37" fontId="12" fillId="0" borderId="0" xfId="4" applyNumberFormat="1" applyFont="1" applyFill="1" applyBorder="1"/>
    <xf numFmtId="0" fontId="12" fillId="0" borderId="1" xfId="3" applyFont="1" applyBorder="1"/>
    <xf numFmtId="37" fontId="12" fillId="0" borderId="1" xfId="3" applyNumberFormat="1" applyFont="1" applyFill="1" applyBorder="1"/>
    <xf numFmtId="0" fontId="12" fillId="0" borderId="0" xfId="3"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Fill="1" applyBorder="1"/>
    <xf numFmtId="39" fontId="12" fillId="0" borderId="21" xfId="7" applyNumberFormat="1" applyFont="1" applyFill="1" applyBorder="1"/>
    <xf numFmtId="0" fontId="12" fillId="0" borderId="21" xfId="3" applyFont="1" applyBorder="1"/>
    <xf numFmtId="0" fontId="12" fillId="0" borderId="0" xfId="3" applyFont="1" applyFill="1" applyBorder="1"/>
    <xf numFmtId="0" fontId="12" fillId="0" borderId="20" xfId="3" applyFont="1" applyFill="1" applyBorder="1" applyAlignment="1">
      <alignment horizontal="left" indent="1"/>
    </xf>
    <xf numFmtId="38" fontId="12" fillId="0" borderId="1" xfId="4" applyNumberFormat="1" applyFont="1" applyFill="1" applyBorder="1" applyAlignment="1">
      <alignment horizontal="right"/>
    </xf>
    <xf numFmtId="0" fontId="10" fillId="3" borderId="0" xfId="0" applyFont="1" applyFill="1"/>
    <xf numFmtId="0" fontId="10" fillId="3" borderId="0" xfId="0" applyFont="1" applyFill="1" applyBorder="1"/>
    <xf numFmtId="0" fontId="13" fillId="0" borderId="0" xfId="0" applyFont="1" applyFill="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applyFill="1"/>
    <xf numFmtId="42" fontId="20" fillId="0" borderId="0" xfId="0" applyNumberFormat="1" applyFont="1" applyFill="1"/>
    <xf numFmtId="42" fontId="20" fillId="2" borderId="3" xfId="0" applyNumberFormat="1" applyFont="1" applyFill="1" applyBorder="1"/>
    <xf numFmtId="42" fontId="10" fillId="0" borderId="0" xfId="0" applyNumberFormat="1" applyFont="1" applyFill="1"/>
    <xf numFmtId="42" fontId="10" fillId="2" borderId="3" xfId="1" applyNumberFormat="1" applyFont="1" applyFill="1" applyBorder="1"/>
    <xf numFmtId="0" fontId="21" fillId="0" borderId="0" xfId="0" applyFont="1" applyFill="1"/>
    <xf numFmtId="164" fontId="21" fillId="2" borderId="3" xfId="2" applyNumberFormat="1" applyFont="1" applyFill="1" applyBorder="1"/>
    <xf numFmtId="164" fontId="21" fillId="0" borderId="0" xfId="2" applyNumberFormat="1" applyFont="1" applyFill="1"/>
    <xf numFmtId="0" fontId="10" fillId="0" borderId="0" xfId="0" applyFont="1" applyFill="1" applyAlignment="1">
      <alignment horizontal="left" indent="1"/>
    </xf>
    <xf numFmtId="165" fontId="10" fillId="2" borderId="3" xfId="1" applyNumberFormat="1" applyFont="1" applyFill="1" applyBorder="1"/>
    <xf numFmtId="0" fontId="12" fillId="0" borderId="0" xfId="3" applyFont="1" applyFill="1" applyBorder="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Fill="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Fill="1" applyBorder="1"/>
    <xf numFmtId="0" fontId="20" fillId="3" borderId="0" xfId="0" applyFont="1" applyFill="1"/>
    <xf numFmtId="0" fontId="20" fillId="0" borderId="0" xfId="0" applyFont="1"/>
    <xf numFmtId="0" fontId="21" fillId="0" borderId="0" xfId="0" applyFont="1" applyFill="1" applyBorder="1"/>
    <xf numFmtId="0" fontId="10" fillId="0" borderId="0" xfId="0" applyFont="1" applyFill="1" applyBorder="1" applyAlignment="1">
      <alignment horizontal="left" indent="1"/>
    </xf>
    <xf numFmtId="0" fontId="20" fillId="0" borderId="0" xfId="0" applyFont="1" applyFill="1" applyBorder="1"/>
    <xf numFmtId="42" fontId="20" fillId="0" borderId="0" xfId="0" applyNumberFormat="1" applyFont="1" applyFill="1" applyBorder="1"/>
    <xf numFmtId="0" fontId="20" fillId="3" borderId="0" xfId="0" applyFont="1" applyFill="1" applyBorder="1"/>
    <xf numFmtId="0" fontId="20" fillId="0" borderId="0" xfId="0" applyFont="1" applyBorder="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applyFill="1" applyBorder="1"/>
    <xf numFmtId="5" fontId="20" fillId="2" borderId="3" xfId="0" applyNumberFormat="1" applyFont="1" applyFill="1" applyBorder="1"/>
    <xf numFmtId="171" fontId="20" fillId="0" borderId="0" xfId="0" applyNumberFormat="1" applyFont="1" applyFill="1" applyBorder="1"/>
    <xf numFmtId="171" fontId="20" fillId="2" borderId="3" xfId="0" applyNumberFormat="1" applyFont="1" applyFill="1" applyBorder="1"/>
    <xf numFmtId="5" fontId="10" fillId="0" borderId="0" xfId="0" applyNumberFormat="1" applyFont="1" applyFill="1"/>
    <xf numFmtId="171" fontId="10" fillId="2" borderId="3" xfId="1" applyNumberFormat="1" applyFont="1" applyFill="1" applyBorder="1"/>
    <xf numFmtId="171" fontId="10" fillId="0" borderId="0" xfId="0" applyNumberFormat="1" applyFont="1" applyFill="1"/>
    <xf numFmtId="0" fontId="12" fillId="0" borderId="0" xfId="4" applyFont="1" applyFill="1" applyBorder="1" applyAlignment="1">
      <alignment horizontal="left" indent="1"/>
    </xf>
    <xf numFmtId="37" fontId="10" fillId="0" borderId="0" xfId="0" applyNumberFormat="1" applyFont="1" applyFill="1" applyBorder="1"/>
    <xf numFmtId="165" fontId="10" fillId="0" borderId="0" xfId="0" applyNumberFormat="1" applyFont="1" applyFill="1" applyBorder="1"/>
    <xf numFmtId="0" fontId="12" fillId="0" borderId="1" xfId="4" applyFont="1" applyFill="1" applyBorder="1" applyAlignment="1">
      <alignment horizontal="left" indent="1"/>
    </xf>
    <xf numFmtId="37" fontId="10" fillId="0" borderId="1" xfId="0" applyNumberFormat="1" applyFont="1" applyFill="1" applyBorder="1"/>
    <xf numFmtId="0" fontId="13" fillId="0" borderId="0" xfId="4" applyFont="1" applyFill="1" applyBorder="1"/>
    <xf numFmtId="5" fontId="20" fillId="2" borderId="3" xfId="1" applyNumberFormat="1" applyFont="1" applyFill="1" applyBorder="1"/>
    <xf numFmtId="165" fontId="10" fillId="2" borderId="4" xfId="1" applyNumberFormat="1" applyFont="1" applyFill="1" applyBorder="1"/>
    <xf numFmtId="5" fontId="10" fillId="0" borderId="0" xfId="0" applyNumberFormat="1" applyFont="1"/>
    <xf numFmtId="167" fontId="10" fillId="0" borderId="0" xfId="0" applyNumberFormat="1" applyFont="1" applyFill="1"/>
    <xf numFmtId="167" fontId="10" fillId="0" borderId="0" xfId="0" applyNumberFormat="1" applyFont="1"/>
    <xf numFmtId="0" fontId="15" fillId="0" borderId="0" xfId="0"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applyBorder="1"/>
    <xf numFmtId="0" fontId="10" fillId="0" borderId="0" xfId="0" applyFont="1" applyBorder="1" applyAlignment="1">
      <alignment horizontal="right"/>
    </xf>
    <xf numFmtId="0" fontId="12" fillId="0" borderId="0" xfId="0" applyFont="1" applyFill="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Border="1" applyAlignment="1" applyProtection="1">
      <alignment horizontal="right"/>
    </xf>
    <xf numFmtId="166" fontId="10" fillId="2" borderId="3" xfId="0" applyNumberFormat="1" applyFont="1" applyFill="1" applyBorder="1" applyAlignment="1" applyProtection="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pplyProtection="1">
      <alignment horizontal="right"/>
    </xf>
    <xf numFmtId="37" fontId="10" fillId="2" borderId="5" xfId="0" applyNumberFormat="1" applyFont="1" applyFill="1" applyBorder="1" applyAlignment="1" applyProtection="1">
      <alignment horizontal="right"/>
    </xf>
    <xf numFmtId="166" fontId="20" fillId="3" borderId="0" xfId="0" applyNumberFormat="1" applyFont="1" applyFill="1" applyBorder="1" applyAlignment="1" applyProtection="1">
      <alignment horizontal="right"/>
    </xf>
    <xf numFmtId="166" fontId="20" fillId="2" borderId="3" xfId="0" applyNumberFormat="1" applyFont="1" applyFill="1" applyBorder="1" applyAlignment="1" applyProtection="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Border="1" applyAlignment="1" applyProtection="1">
      <alignment horizontal="right"/>
    </xf>
    <xf numFmtId="42" fontId="20" fillId="2" borderId="3" xfId="0" applyNumberFormat="1" applyFont="1" applyFill="1" applyBorder="1" applyAlignment="1" applyProtection="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0" fontId="10" fillId="0" borderId="0" xfId="0" applyFont="1" applyFill="1" applyBorder="1" applyAlignment="1">
      <alignment horizontal="right"/>
    </xf>
    <xf numFmtId="5" fontId="10" fillId="0" borderId="0" xfId="0" applyNumberFormat="1" applyFont="1" applyAlignment="1">
      <alignment horizontal="right"/>
    </xf>
    <xf numFmtId="0" fontId="17" fillId="0" borderId="1" xfId="0" applyFont="1" applyBorder="1"/>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0" fontId="10" fillId="0" borderId="0" xfId="0" applyFont="1" applyAlignment="1">
      <alignment horizontal="left" indent="1"/>
    </xf>
    <xf numFmtId="41" fontId="10" fillId="0" borderId="0" xfId="0" applyNumberFormat="1" applyFont="1"/>
    <xf numFmtId="0" fontId="10" fillId="0" borderId="0" xfId="0" applyFont="1" applyBorder="1" applyAlignment="1">
      <alignment horizontal="left" indent="1"/>
    </xf>
    <xf numFmtId="41" fontId="10" fillId="3" borderId="0" xfId="0" applyNumberFormat="1" applyFont="1" applyFill="1" applyBorder="1"/>
    <xf numFmtId="0" fontId="10" fillId="0" borderId="1" xfId="0" applyFont="1" applyBorder="1" applyAlignment="1">
      <alignment horizontal="left" indent="1"/>
    </xf>
    <xf numFmtId="0" fontId="10" fillId="2" borderId="4" xfId="0" applyFont="1" applyFill="1" applyBorder="1"/>
    <xf numFmtId="37" fontId="10" fillId="0" borderId="0" xfId="0" applyNumberFormat="1" applyFont="1"/>
    <xf numFmtId="42" fontId="10" fillId="0" borderId="0" xfId="0" applyNumberFormat="1" applyFont="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5" fontId="10" fillId="0" borderId="0" xfId="0" applyNumberFormat="1" applyFont="1" applyBorder="1"/>
    <xf numFmtId="0" fontId="12" fillId="0" borderId="13" xfId="4" applyFont="1" applyFill="1" applyBorder="1"/>
    <xf numFmtId="37" fontId="10" fillId="2" borderId="5" xfId="0" applyNumberFormat="1" applyFont="1" applyFill="1" applyBorder="1" applyAlignment="1">
      <alignment horizontal="right"/>
    </xf>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applyBorder="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13" fillId="3" borderId="0" xfId="4" applyFont="1" applyFill="1"/>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4" applyFont="1" applyFill="1"/>
    <xf numFmtId="0" fontId="12" fillId="0" borderId="0" xfId="10" applyFont="1" applyBorder="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Border="1" applyAlignment="1">
      <alignment horizontal="left"/>
    </xf>
    <xf numFmtId="5" fontId="20" fillId="0" borderId="0" xfId="0" applyNumberFormat="1" applyFont="1" applyBorder="1" applyAlignment="1">
      <alignment horizontal="right"/>
    </xf>
    <xf numFmtId="5" fontId="20" fillId="2" borderId="3" xfId="0" applyNumberFormat="1" applyFont="1" applyFill="1" applyBorder="1" applyAlignment="1">
      <alignment horizontal="right"/>
    </xf>
    <xf numFmtId="42" fontId="20" fillId="0" borderId="0" xfId="0" applyNumberFormat="1" applyFont="1" applyBorder="1"/>
    <xf numFmtId="41" fontId="10" fillId="0" borderId="0" xfId="0" applyNumberFormat="1" applyFont="1" applyBorder="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Border="1" applyAlignment="1">
      <alignment horizontal="right"/>
    </xf>
    <xf numFmtId="41" fontId="20" fillId="2" borderId="3" xfId="0" applyNumberFormat="1" applyFont="1" applyFill="1" applyBorder="1" applyAlignment="1">
      <alignment horizontal="right"/>
    </xf>
    <xf numFmtId="165" fontId="10" fillId="0" borderId="0" xfId="0" applyNumberFormat="1" applyFont="1" applyBorder="1" applyAlignment="1">
      <alignment horizontal="right"/>
    </xf>
    <xf numFmtId="42" fontId="10" fillId="0" borderId="0" xfId="0" applyNumberFormat="1" applyFont="1" applyBorder="1" applyAlignment="1">
      <alignment horizontal="right"/>
    </xf>
    <xf numFmtId="0" fontId="13" fillId="0" borderId="0" xfId="10" applyFont="1" applyFill="1" applyBorder="1" applyAlignment="1">
      <alignment horizontal="left"/>
    </xf>
    <xf numFmtId="165" fontId="20" fillId="0" borderId="0" xfId="0" applyNumberFormat="1" applyFont="1" applyBorder="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Fill="1" applyBorder="1" applyAlignment="1">
      <alignment horizontal="left"/>
    </xf>
    <xf numFmtId="0" fontId="12" fillId="0" borderId="0" xfId="10" applyFont="1" applyFill="1" applyBorder="1" applyAlignment="1">
      <alignment horizontal="left" wrapText="1"/>
    </xf>
    <xf numFmtId="42" fontId="10" fillId="0" borderId="0" xfId="0" applyNumberFormat="1" applyFont="1" applyBorder="1"/>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Border="1" applyAlignment="1">
      <alignment horizontal="left"/>
    </xf>
    <xf numFmtId="0" fontId="24" fillId="0" borderId="0" xfId="10" applyFont="1" applyAlignment="1">
      <alignment horizontal="left"/>
    </xf>
    <xf numFmtId="0" fontId="24" fillId="0" borderId="0" xfId="10" applyFont="1" applyAlignment="1">
      <alignment horizontal="center"/>
    </xf>
    <xf numFmtId="0" fontId="12" fillId="0" borderId="0" xfId="10" applyFont="1" applyFill="1" applyAlignment="1">
      <alignment horizontal="left"/>
    </xf>
    <xf numFmtId="0" fontId="12" fillId="0" borderId="0" xfId="10" applyFont="1" applyAlignment="1">
      <alignment horizontal="left"/>
    </xf>
    <xf numFmtId="42" fontId="10" fillId="0" borderId="0" xfId="1" applyNumberFormat="1" applyFont="1" applyAlignment="1">
      <alignment horizontal="right"/>
    </xf>
    <xf numFmtId="0" fontId="13" fillId="0" borderId="0" xfId="10" applyFont="1" applyAlignment="1">
      <alignment horizontal="lef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2" borderId="3" xfId="0" applyNumberFormat="1" applyFont="1" applyFill="1" applyBorder="1" applyAlignment="1">
      <alignment horizontal="right"/>
    </xf>
    <xf numFmtId="42" fontId="20" fillId="0" borderId="0" xfId="0" applyNumberFormat="1" applyFont="1" applyBorder="1" applyAlignment="1">
      <alignment horizontal="right"/>
    </xf>
    <xf numFmtId="0" fontId="24" fillId="0" borderId="0" xfId="10" applyFont="1" applyFill="1" applyAlignment="1">
      <alignment horizontal="center"/>
    </xf>
    <xf numFmtId="165" fontId="10" fillId="0" borderId="0" xfId="0" applyNumberFormat="1" applyFont="1" applyAlignment="1">
      <alignment horizontal="right"/>
    </xf>
    <xf numFmtId="0" fontId="12" fillId="0" borderId="1" xfId="10" applyFont="1" applyFill="1" applyBorder="1" applyAlignment="1">
      <alignment horizontal="left"/>
    </xf>
    <xf numFmtId="165" fontId="10" fillId="0" borderId="1" xfId="0" applyNumberFormat="1" applyFont="1" applyBorder="1" applyAlignment="1">
      <alignment horizontal="right"/>
    </xf>
    <xf numFmtId="165" fontId="20" fillId="0" borderId="0" xfId="0" applyNumberFormat="1" applyFont="1" applyAlignment="1">
      <alignment horizontal="right"/>
    </xf>
    <xf numFmtId="42" fontId="20" fillId="0" borderId="0" xfId="0" applyNumberFormat="1" applyFont="1" applyAlignment="1">
      <alignment horizontal="right"/>
    </xf>
    <xf numFmtId="171" fontId="10" fillId="3" borderId="0" xfId="0" applyNumberFormat="1" applyFont="1" applyFill="1" applyBorder="1" applyAlignment="1" applyProtection="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Border="1" applyAlignment="1" applyProtection="1">
      <alignment horizontal="right"/>
    </xf>
    <xf numFmtId="165" fontId="10" fillId="3" borderId="1" xfId="1" applyNumberFormat="1" applyFont="1" applyFill="1" applyBorder="1" applyAlignment="1" applyProtection="1">
      <alignment horizontal="right"/>
    </xf>
    <xf numFmtId="171" fontId="10" fillId="0" borderId="0" xfId="0" applyNumberFormat="1" applyFont="1" applyFill="1" applyBorder="1" applyAlignment="1" applyProtection="1">
      <alignment horizontal="right"/>
    </xf>
    <xf numFmtId="171" fontId="10" fillId="0" borderId="1" xfId="1" applyNumberFormat="1" applyFont="1" applyFill="1" applyBorder="1" applyAlignment="1" applyProtection="1">
      <alignment horizontal="right"/>
    </xf>
    <xf numFmtId="171" fontId="20" fillId="0" borderId="0" xfId="0" applyNumberFormat="1" applyFont="1" applyFill="1" applyBorder="1" applyAlignment="1" applyProtection="1">
      <alignment horizontal="right"/>
    </xf>
    <xf numFmtId="170" fontId="13" fillId="0" borderId="23" xfId="3" applyNumberFormat="1" applyFont="1" applyFill="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42" fontId="20" fillId="0" borderId="0" xfId="0" applyNumberFormat="1" applyFont="1" applyFill="1" applyAlignment="1">
      <alignment horizontal="right"/>
    </xf>
    <xf numFmtId="171" fontId="10" fillId="2" borderId="3" xfId="5" applyNumberFormat="1" applyFont="1" applyFill="1" applyBorder="1"/>
    <xf numFmtId="0" fontId="20" fillId="0" borderId="16" xfId="0" applyFont="1" applyFill="1" applyBorder="1" applyAlignment="1">
      <alignment horizontal="center" vertical="center"/>
    </xf>
    <xf numFmtId="0" fontId="20" fillId="0" borderId="19" xfId="0" applyFont="1" applyFill="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Fill="1" applyBorder="1"/>
    <xf numFmtId="0" fontId="10" fillId="0" borderId="20" xfId="0" applyFont="1" applyFill="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Fill="1" applyBorder="1" applyAlignment="1">
      <alignment horizontal="left" wrapText="1"/>
    </xf>
    <xf numFmtId="41" fontId="10" fillId="2" borderId="0" xfId="0" applyNumberFormat="1" applyFont="1" applyFill="1" applyBorder="1" applyAlignment="1">
      <alignment horizontal="right"/>
    </xf>
    <xf numFmtId="0" fontId="12" fillId="3" borderId="0" xfId="4" applyFont="1" applyFill="1" applyBorder="1" applyAlignment="1">
      <alignment horizontal="left" indent="1"/>
    </xf>
    <xf numFmtId="43" fontId="10" fillId="0" borderId="0" xfId="1" applyFont="1" applyFill="1" applyBorder="1"/>
    <xf numFmtId="166" fontId="10" fillId="0" borderId="0" xfId="0" applyNumberFormat="1" applyFont="1" applyFill="1" applyBorder="1" applyAlignment="1" applyProtection="1">
      <alignment horizontal="right"/>
    </xf>
    <xf numFmtId="37" fontId="10" fillId="0" borderId="1" xfId="0" applyNumberFormat="1" applyFont="1" applyFill="1" applyBorder="1" applyAlignment="1" applyProtection="1">
      <alignment horizontal="right"/>
    </xf>
    <xf numFmtId="0" fontId="20" fillId="0" borderId="0" xfId="0" applyFont="1" applyFill="1" applyBorder="1" applyAlignment="1">
      <alignment wrapText="1"/>
    </xf>
    <xf numFmtId="0" fontId="20" fillId="0" borderId="0" xfId="0" applyFont="1" applyFill="1" applyBorder="1" applyAlignment="1">
      <alignment horizontal="left" wrapText="1"/>
    </xf>
    <xf numFmtId="165" fontId="12" fillId="2" borderId="25" xfId="1" applyNumberFormat="1" applyFont="1" applyFill="1" applyBorder="1"/>
    <xf numFmtId="164" fontId="10" fillId="0" borderId="0" xfId="0" applyNumberFormat="1" applyFont="1"/>
    <xf numFmtId="44" fontId="10" fillId="0" borderId="0" xfId="0" applyNumberFormat="1" applyFont="1"/>
    <xf numFmtId="38" fontId="10" fillId="0" borderId="0" xfId="0" applyNumberFormat="1" applyFont="1"/>
    <xf numFmtId="166" fontId="10" fillId="0" borderId="0" xfId="0" applyNumberFormat="1" applyFont="1"/>
    <xf numFmtId="42" fontId="20" fillId="0" borderId="0" xfId="0" applyNumberFormat="1" applyFont="1"/>
    <xf numFmtId="165" fontId="12" fillId="0" borderId="1" xfId="1" applyNumberFormat="1" applyFont="1" applyFill="1" applyBorder="1"/>
    <xf numFmtId="0" fontId="11" fillId="0" borderId="12"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2" fillId="0" borderId="10"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1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B3" sqref="B3:C3"/>
    </sheetView>
  </sheetViews>
  <sheetFormatPr defaultColWidth="8.7109375" defaultRowHeight="12.75"/>
  <cols>
    <col min="1" max="1" width="5.5703125" style="1" customWidth="1"/>
    <col min="2" max="3" width="41.7109375" style="1" customWidth="1"/>
    <col min="4" max="4" width="2.5703125" style="1" customWidth="1"/>
    <col min="5" max="16384" width="8.7109375" style="1"/>
  </cols>
  <sheetData>
    <row r="2" spans="2:3" ht="13.5" thickBot="1"/>
    <row r="3" spans="2:3" ht="18">
      <c r="B3" s="305" t="s">
        <v>220</v>
      </c>
      <c r="C3" s="306"/>
    </row>
    <row r="4" spans="2:3">
      <c r="B4" s="307"/>
      <c r="C4" s="308"/>
    </row>
    <row r="5" spans="2:3">
      <c r="B5" s="309" t="s">
        <v>29</v>
      </c>
      <c r="C5" s="310"/>
    </row>
    <row r="6" spans="2:3">
      <c r="B6" s="309"/>
      <c r="C6" s="310"/>
    </row>
    <row r="7" spans="2:3">
      <c r="B7" s="309"/>
      <c r="C7" s="310"/>
    </row>
    <row r="8" spans="2:3">
      <c r="B8" s="309"/>
      <c r="C8" s="310"/>
    </row>
    <row r="9" spans="2:3" ht="13.5" thickBot="1">
      <c r="B9" s="311"/>
      <c r="C9" s="312"/>
    </row>
    <row r="11" spans="2:3">
      <c r="B11" s="2" t="s">
        <v>111</v>
      </c>
    </row>
    <row r="12" spans="2:3">
      <c r="B12" s="3" t="s">
        <v>141</v>
      </c>
    </row>
    <row r="13" spans="2:3">
      <c r="B13" s="3" t="s">
        <v>142</v>
      </c>
    </row>
    <row r="14" spans="2:3">
      <c r="B14" s="4" t="s">
        <v>45</v>
      </c>
    </row>
    <row r="15" spans="2:3">
      <c r="B15" s="3" t="s">
        <v>143</v>
      </c>
    </row>
    <row r="16" spans="2:3">
      <c r="B16" s="3" t="s">
        <v>144</v>
      </c>
    </row>
    <row r="17" spans="2:2">
      <c r="B17" s="3" t="s">
        <v>56</v>
      </c>
    </row>
    <row r="18" spans="2:2">
      <c r="B18" s="3" t="s">
        <v>53</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E77"/>
  <sheetViews>
    <sheetView showGridLines="0" tabSelected="1" zoomScale="80" zoomScaleNormal="80" zoomScaleSheetLayoutView="80" workbookViewId="0">
      <pane xSplit="2" ySplit="8" topLeftCell="N36" activePane="bottomRight" state="frozen"/>
      <selection pane="topRight"/>
      <selection pane="bottomLeft"/>
      <selection pane="bottomRight" activeCell="AC50" sqref="AC50"/>
    </sheetView>
  </sheetViews>
  <sheetFormatPr defaultColWidth="11.42578125" defaultRowHeight="12.75"/>
  <cols>
    <col min="1" max="1" width="8.5703125" style="1" customWidth="1"/>
    <col min="2" max="2" width="48.7109375" style="1" customWidth="1"/>
    <col min="3" max="29" width="11.42578125" style="1"/>
    <col min="30" max="30" width="13.42578125" style="1" bestFit="1" customWidth="1"/>
    <col min="31" max="16384" width="11.42578125" style="1"/>
  </cols>
  <sheetData>
    <row r="1" spans="2:30" ht="15" customHeight="1">
      <c r="B1" s="5"/>
      <c r="C1" s="5"/>
      <c r="J1" s="6"/>
      <c r="K1" s="6"/>
      <c r="L1" s="6"/>
      <c r="M1" s="6"/>
      <c r="O1" s="6"/>
      <c r="P1" s="6"/>
      <c r="Q1" s="6"/>
      <c r="R1" s="6"/>
      <c r="T1" s="6"/>
      <c r="U1" s="6"/>
      <c r="V1" s="6"/>
      <c r="W1" s="6"/>
      <c r="AA1" s="6"/>
      <c r="AB1" s="6"/>
      <c r="AC1" s="6"/>
    </row>
    <row r="2" spans="2:30" ht="15" customHeight="1">
      <c r="B2" s="5"/>
      <c r="C2" s="5"/>
      <c r="J2" s="6"/>
      <c r="K2" s="6"/>
      <c r="L2" s="6"/>
      <c r="M2" s="6"/>
      <c r="O2" s="6"/>
      <c r="P2" s="6"/>
      <c r="Q2" s="6"/>
      <c r="R2" s="6"/>
      <c r="T2" s="6"/>
      <c r="U2" s="6"/>
      <c r="V2" s="6"/>
      <c r="W2" s="6"/>
      <c r="AA2" s="6"/>
      <c r="AB2" s="6"/>
      <c r="AC2" s="6"/>
    </row>
    <row r="3" spans="2:30" ht="15" customHeight="1">
      <c r="B3" s="5"/>
      <c r="C3" s="5"/>
      <c r="D3" s="7"/>
      <c r="J3" s="6"/>
      <c r="K3" s="6"/>
      <c r="L3" s="6"/>
      <c r="M3" s="6"/>
      <c r="O3" s="6"/>
      <c r="P3" s="6"/>
      <c r="Q3" s="6"/>
      <c r="R3" s="6"/>
      <c r="T3" s="6"/>
      <c r="U3" s="6"/>
      <c r="V3" s="6"/>
      <c r="W3" s="6"/>
      <c r="AA3" s="6"/>
      <c r="AB3" s="6"/>
      <c r="AC3" s="6"/>
    </row>
    <row r="4" spans="2:30" ht="15" customHeight="1">
      <c r="B4" s="5"/>
      <c r="C4" s="5"/>
      <c r="D4" s="7"/>
      <c r="J4" s="6"/>
      <c r="K4" s="6"/>
      <c r="L4" s="6"/>
      <c r="M4" s="6"/>
      <c r="O4" s="6"/>
      <c r="P4" s="6"/>
      <c r="Q4" s="6"/>
      <c r="R4" s="6"/>
      <c r="T4" s="6"/>
      <c r="U4" s="6"/>
      <c r="V4" s="6"/>
      <c r="W4" s="6"/>
      <c r="AA4" s="6"/>
      <c r="AB4" s="6"/>
      <c r="AC4" s="6"/>
    </row>
    <row r="5" spans="2:30" s="9" customFormat="1" ht="15" customHeight="1">
      <c r="B5" s="8"/>
      <c r="C5" s="7" t="s">
        <v>46</v>
      </c>
      <c r="J5" s="10"/>
      <c r="K5" s="10"/>
      <c r="L5" s="10"/>
      <c r="M5" s="10"/>
      <c r="O5" s="10"/>
      <c r="P5" s="10"/>
      <c r="Q5" s="10"/>
      <c r="R5" s="10"/>
      <c r="T5" s="10"/>
      <c r="U5" s="10"/>
      <c r="V5" s="10"/>
      <c r="W5" s="10"/>
      <c r="AA5" s="10"/>
      <c r="AB5" s="10"/>
      <c r="AC5" s="10"/>
    </row>
    <row r="6" spans="2:30" s="9" customFormat="1" ht="15" customHeight="1">
      <c r="B6" s="11" t="s">
        <v>139</v>
      </c>
      <c r="C6" s="11"/>
      <c r="D6" s="12"/>
      <c r="E6" s="12"/>
      <c r="F6" s="12"/>
      <c r="G6" s="12"/>
      <c r="H6" s="12"/>
      <c r="I6" s="12"/>
      <c r="J6" s="13"/>
      <c r="K6" s="13"/>
      <c r="L6" s="13"/>
      <c r="M6" s="13"/>
      <c r="N6" s="12"/>
      <c r="O6" s="13"/>
      <c r="P6" s="13"/>
      <c r="Q6" s="13"/>
      <c r="R6" s="13"/>
      <c r="S6" s="12"/>
      <c r="T6" s="13"/>
      <c r="U6" s="10"/>
      <c r="V6" s="10"/>
      <c r="W6" s="13"/>
      <c r="X6" s="12"/>
      <c r="Y6" s="12"/>
      <c r="Z6" s="12"/>
      <c r="AA6" s="10"/>
      <c r="AB6" s="13"/>
      <c r="AC6" s="10"/>
    </row>
    <row r="7" spans="2:30" ht="15" customHeight="1">
      <c r="B7" s="6" t="s">
        <v>148</v>
      </c>
      <c r="C7" s="6"/>
      <c r="J7" s="6"/>
      <c r="K7" s="6"/>
      <c r="L7" s="6"/>
      <c r="M7" s="6"/>
      <c r="O7" s="6"/>
      <c r="P7" s="6"/>
      <c r="Q7" s="6"/>
      <c r="R7" s="6"/>
      <c r="T7" s="6"/>
      <c r="U7" s="285"/>
      <c r="V7" s="285"/>
      <c r="W7" s="6"/>
      <c r="AA7" s="285"/>
      <c r="AB7" s="6"/>
      <c r="AC7" s="285"/>
    </row>
    <row r="8" spans="2:30">
      <c r="B8" s="14"/>
      <c r="C8" s="256" t="s">
        <v>117</v>
      </c>
      <c r="D8" s="15" t="s">
        <v>75</v>
      </c>
      <c r="E8" s="15" t="s">
        <v>76</v>
      </c>
      <c r="F8" s="15" t="s">
        <v>77</v>
      </c>
      <c r="G8" s="15" t="s">
        <v>78</v>
      </c>
      <c r="H8" s="256" t="s">
        <v>44</v>
      </c>
      <c r="I8" s="15" t="s">
        <v>79</v>
      </c>
      <c r="J8" s="15" t="s">
        <v>80</v>
      </c>
      <c r="K8" s="15" t="s">
        <v>81</v>
      </c>
      <c r="L8" s="15" t="s">
        <v>82</v>
      </c>
      <c r="M8" s="255" t="s">
        <v>83</v>
      </c>
      <c r="N8" s="15" t="s">
        <v>151</v>
      </c>
      <c r="O8" s="15" t="s">
        <v>150</v>
      </c>
      <c r="P8" s="15" t="s">
        <v>189</v>
      </c>
      <c r="Q8" s="15" t="s">
        <v>190</v>
      </c>
      <c r="R8" s="255" t="s">
        <v>191</v>
      </c>
      <c r="S8" s="15" t="s">
        <v>193</v>
      </c>
      <c r="T8" s="15" t="s">
        <v>194</v>
      </c>
      <c r="U8" s="15" t="s">
        <v>199</v>
      </c>
      <c r="V8" s="15" t="s">
        <v>204</v>
      </c>
      <c r="W8" s="255" t="s">
        <v>203</v>
      </c>
      <c r="X8" s="15" t="s">
        <v>205</v>
      </c>
      <c r="Y8" s="15" t="s">
        <v>213</v>
      </c>
      <c r="Z8" s="15" t="s">
        <v>217</v>
      </c>
      <c r="AA8" s="15" t="s">
        <v>219</v>
      </c>
      <c r="AB8" s="255" t="s">
        <v>218</v>
      </c>
      <c r="AC8" s="15" t="s">
        <v>221</v>
      </c>
    </row>
    <row r="9" spans="2:30">
      <c r="B9" s="16" t="s">
        <v>122</v>
      </c>
      <c r="C9" s="257">
        <v>174760</v>
      </c>
      <c r="D9" s="17">
        <v>46757</v>
      </c>
      <c r="E9" s="17">
        <v>54013</v>
      </c>
      <c r="F9" s="17">
        <v>59121</v>
      </c>
      <c r="G9" s="17">
        <v>60210</v>
      </c>
      <c r="H9" s="257">
        <v>220101</v>
      </c>
      <c r="I9" s="17">
        <v>62471</v>
      </c>
      <c r="J9" s="17">
        <v>64812</v>
      </c>
      <c r="K9" s="17">
        <v>80021</v>
      </c>
      <c r="L9" s="17">
        <v>78316</v>
      </c>
      <c r="M9" s="275">
        <v>285620</v>
      </c>
      <c r="N9" s="17">
        <v>82511</v>
      </c>
      <c r="O9" s="17">
        <v>90143</v>
      </c>
      <c r="P9" s="17">
        <v>102217</v>
      </c>
      <c r="Q9" s="17">
        <v>105701</v>
      </c>
      <c r="R9" s="275">
        <f>Q9+P9+O9+N9</f>
        <v>380572</v>
      </c>
      <c r="S9" s="17">
        <v>99437</v>
      </c>
      <c r="T9" s="17">
        <v>104661</v>
      </c>
      <c r="U9" s="17">
        <v>119753</v>
      </c>
      <c r="V9" s="17">
        <v>119175</v>
      </c>
      <c r="W9" s="275">
        <f>V9+U9+T9+S9</f>
        <v>443026</v>
      </c>
      <c r="X9" s="17">
        <v>119038</v>
      </c>
      <c r="Y9" s="17">
        <v>127290</v>
      </c>
      <c r="Z9" s="17">
        <v>140604</v>
      </c>
      <c r="AA9" s="17">
        <v>141725</v>
      </c>
      <c r="AB9" s="275">
        <f>AA9+Z9+Y9+X9</f>
        <v>528657</v>
      </c>
      <c r="AC9" s="17">
        <v>142243</v>
      </c>
      <c r="AD9" s="300"/>
    </row>
    <row r="10" spans="2:30">
      <c r="B10" s="18"/>
      <c r="C10" s="258"/>
      <c r="D10" s="19"/>
      <c r="E10" s="19"/>
      <c r="F10" s="19"/>
      <c r="G10" s="19"/>
      <c r="H10" s="258"/>
      <c r="I10" s="19"/>
      <c r="J10" s="19"/>
      <c r="K10" s="19"/>
      <c r="L10" s="19"/>
      <c r="M10" s="258"/>
      <c r="N10" s="19"/>
      <c r="O10" s="19"/>
      <c r="P10" s="19"/>
      <c r="Q10" s="19"/>
      <c r="R10" s="258"/>
      <c r="S10" s="19"/>
      <c r="T10" s="19"/>
      <c r="U10" s="19"/>
      <c r="V10" s="19"/>
      <c r="W10" s="258"/>
      <c r="X10" s="19"/>
      <c r="Y10" s="19"/>
      <c r="Z10" s="19"/>
      <c r="AA10" s="19"/>
      <c r="AB10" s="258"/>
      <c r="AC10" s="19"/>
    </row>
    <row r="11" spans="2:30">
      <c r="B11" s="20" t="s">
        <v>123</v>
      </c>
      <c r="C11" s="259">
        <v>99976</v>
      </c>
      <c r="D11" s="21">
        <v>24061</v>
      </c>
      <c r="E11" s="21">
        <v>24009</v>
      </c>
      <c r="F11" s="21">
        <v>24526</v>
      </c>
      <c r="G11" s="21">
        <v>23800</v>
      </c>
      <c r="H11" s="259">
        <v>96396</v>
      </c>
      <c r="I11" s="21">
        <v>23654</v>
      </c>
      <c r="J11" s="21">
        <v>24466</v>
      </c>
      <c r="K11" s="21">
        <v>34838</v>
      </c>
      <c r="L11" s="21">
        <v>37760</v>
      </c>
      <c r="M11" s="259">
        <v>120718</v>
      </c>
      <c r="N11" s="21">
        <v>36426</v>
      </c>
      <c r="O11" s="21">
        <v>41460</v>
      </c>
      <c r="P11" s="21">
        <v>37966</v>
      </c>
      <c r="Q11" s="21">
        <v>36852</v>
      </c>
      <c r="R11" s="259">
        <f>Q11+P11+O11+N11</f>
        <v>152704</v>
      </c>
      <c r="S11" s="21">
        <v>34465</v>
      </c>
      <c r="T11" s="21">
        <v>34897</v>
      </c>
      <c r="U11" s="21">
        <v>37085</v>
      </c>
      <c r="V11" s="21">
        <v>37557</v>
      </c>
      <c r="W11" s="259">
        <f>V11+U11+T11+S11</f>
        <v>144004</v>
      </c>
      <c r="X11" s="21">
        <v>34315</v>
      </c>
      <c r="Y11" s="21">
        <v>35079</v>
      </c>
      <c r="Z11" s="21">
        <v>38557</v>
      </c>
      <c r="AA11" s="21">
        <v>39476</v>
      </c>
      <c r="AB11" s="259">
        <f>AA11+Z11+Y11+X11</f>
        <v>147427</v>
      </c>
      <c r="AC11" s="21">
        <v>41021</v>
      </c>
    </row>
    <row r="12" spans="2:30">
      <c r="B12" s="16" t="s">
        <v>124</v>
      </c>
      <c r="C12" s="260">
        <f>C9-C11</f>
        <v>74784</v>
      </c>
      <c r="D12" s="22">
        <v>22696</v>
      </c>
      <c r="E12" s="22">
        <v>30004</v>
      </c>
      <c r="F12" s="22">
        <v>34595</v>
      </c>
      <c r="G12" s="22">
        <v>36410</v>
      </c>
      <c r="H12" s="260">
        <v>123705</v>
      </c>
      <c r="I12" s="22">
        <v>38817</v>
      </c>
      <c r="J12" s="22">
        <v>40346</v>
      </c>
      <c r="K12" s="22">
        <v>45183</v>
      </c>
      <c r="L12" s="22">
        <v>40556</v>
      </c>
      <c r="M12" s="260">
        <v>164902</v>
      </c>
      <c r="N12" s="22">
        <f t="shared" ref="N12:U12" si="0">N9-N11</f>
        <v>46085</v>
      </c>
      <c r="O12" s="22">
        <f t="shared" si="0"/>
        <v>48683</v>
      </c>
      <c r="P12" s="22">
        <f t="shared" si="0"/>
        <v>64251</v>
      </c>
      <c r="Q12" s="22">
        <f t="shared" si="0"/>
        <v>68849</v>
      </c>
      <c r="R12" s="260">
        <f t="shared" si="0"/>
        <v>227868</v>
      </c>
      <c r="S12" s="22">
        <f>S9-S11</f>
        <v>64972</v>
      </c>
      <c r="T12" s="22">
        <f t="shared" si="0"/>
        <v>69764</v>
      </c>
      <c r="U12" s="22">
        <f t="shared" si="0"/>
        <v>82668</v>
      </c>
      <c r="V12" s="22">
        <f t="shared" ref="V12:W12" si="1">V9-V11</f>
        <v>81618</v>
      </c>
      <c r="W12" s="260">
        <f t="shared" si="1"/>
        <v>299022</v>
      </c>
      <c r="X12" s="22">
        <f>X9-X11</f>
        <v>84723</v>
      </c>
      <c r="Y12" s="22">
        <f>Y9-Y11</f>
        <v>92211</v>
      </c>
      <c r="Z12" s="22">
        <f>Z9-Z11</f>
        <v>102047</v>
      </c>
      <c r="AA12" s="22">
        <f t="shared" ref="AA12:AB12" si="2">AA9-AA11</f>
        <v>102249</v>
      </c>
      <c r="AB12" s="260">
        <f t="shared" si="2"/>
        <v>381230</v>
      </c>
      <c r="AC12" s="22">
        <f t="shared" ref="AC12" si="3">AC9-AC11</f>
        <v>101222</v>
      </c>
    </row>
    <row r="13" spans="2:30">
      <c r="B13" s="23" t="s">
        <v>125</v>
      </c>
      <c r="C13" s="261">
        <f>C12/C9</f>
        <v>0.42792401007095443</v>
      </c>
      <c r="D13" s="24">
        <v>0.48540325512757448</v>
      </c>
      <c r="E13" s="24">
        <v>0.55549589913539332</v>
      </c>
      <c r="F13" s="24">
        <v>0.58515586678168496</v>
      </c>
      <c r="G13" s="24">
        <v>0.6047168244477662</v>
      </c>
      <c r="H13" s="261">
        <v>0.56203742827156622</v>
      </c>
      <c r="I13" s="24">
        <v>0.6213603111843895</v>
      </c>
      <c r="J13" s="24">
        <v>0.62250817749799425</v>
      </c>
      <c r="K13" s="24">
        <v>0.56463928218842552</v>
      </c>
      <c r="L13" s="24">
        <v>0.51785075846570305</v>
      </c>
      <c r="M13" s="261">
        <v>0.57734752468314543</v>
      </c>
      <c r="N13" s="24">
        <f t="shared" ref="N13:U13" si="4">N12/N9</f>
        <v>0.55853158972743033</v>
      </c>
      <c r="O13" s="24">
        <f t="shared" si="4"/>
        <v>0.54006412034212303</v>
      </c>
      <c r="P13" s="24">
        <f t="shared" si="4"/>
        <v>0.62857450326266673</v>
      </c>
      <c r="Q13" s="24">
        <f t="shared" si="4"/>
        <v>0.65135618395284811</v>
      </c>
      <c r="R13" s="261">
        <f t="shared" si="4"/>
        <v>0.59875135322619633</v>
      </c>
      <c r="S13" s="24">
        <f t="shared" si="4"/>
        <v>0.65339863431117184</v>
      </c>
      <c r="T13" s="24">
        <f t="shared" si="4"/>
        <v>0.66657112009248909</v>
      </c>
      <c r="U13" s="24">
        <f t="shared" si="4"/>
        <v>0.69032091054086331</v>
      </c>
      <c r="V13" s="24">
        <f t="shared" ref="V13:X13" si="5">V12/V9</f>
        <v>0.68485840151038391</v>
      </c>
      <c r="W13" s="261">
        <f t="shared" si="5"/>
        <v>0.6749536144605508</v>
      </c>
      <c r="X13" s="24">
        <f t="shared" si="5"/>
        <v>0.71173070784119352</v>
      </c>
      <c r="Y13" s="24">
        <f t="shared" ref="Y13:AB13" si="6">Y12/Y9</f>
        <v>0.7244166863068584</v>
      </c>
      <c r="Z13" s="24">
        <f t="shared" si="6"/>
        <v>0.72577593809564456</v>
      </c>
      <c r="AA13" s="24">
        <f t="shared" si="6"/>
        <v>0.7214605750573293</v>
      </c>
      <c r="AB13" s="261">
        <f t="shared" si="6"/>
        <v>0.72112920097530153</v>
      </c>
      <c r="AC13" s="24">
        <f t="shared" ref="AC13" si="7">AC12/AC9</f>
        <v>0.71161322525537285</v>
      </c>
      <c r="AD13" s="299"/>
    </row>
    <row r="14" spans="2:30">
      <c r="B14" s="23"/>
      <c r="C14" s="260"/>
      <c r="D14" s="25"/>
      <c r="E14" s="25"/>
      <c r="F14" s="25"/>
      <c r="G14" s="25"/>
      <c r="H14" s="260"/>
      <c r="I14" s="25"/>
      <c r="J14" s="25"/>
      <c r="K14" s="25"/>
      <c r="L14" s="25"/>
      <c r="M14" s="260"/>
      <c r="N14" s="25"/>
      <c r="O14" s="25"/>
      <c r="P14" s="25"/>
      <c r="Q14" s="25"/>
      <c r="R14" s="260"/>
      <c r="S14" s="25"/>
      <c r="T14" s="25"/>
      <c r="U14" s="25"/>
      <c r="V14" s="25"/>
      <c r="W14" s="260"/>
      <c r="X14" s="25"/>
      <c r="Y14" s="25"/>
      <c r="Z14" s="25"/>
      <c r="AA14" s="25"/>
      <c r="AB14" s="260"/>
      <c r="AC14" s="25"/>
    </row>
    <row r="15" spans="2:30">
      <c r="B15" s="16" t="s">
        <v>126</v>
      </c>
      <c r="C15" s="260"/>
      <c r="D15" s="25"/>
      <c r="E15" s="25"/>
      <c r="F15" s="25"/>
      <c r="G15" s="25"/>
      <c r="H15" s="260"/>
      <c r="I15" s="25"/>
      <c r="J15" s="25"/>
      <c r="K15" s="25"/>
      <c r="L15" s="25"/>
      <c r="M15" s="260"/>
      <c r="N15" s="25"/>
      <c r="O15" s="25"/>
      <c r="P15" s="25"/>
      <c r="Q15" s="25"/>
      <c r="R15" s="260"/>
      <c r="S15" s="25"/>
      <c r="T15" s="25"/>
      <c r="U15" s="25"/>
      <c r="V15" s="25"/>
      <c r="W15" s="260"/>
      <c r="X15" s="25"/>
      <c r="Y15" s="25"/>
      <c r="Z15" s="25"/>
      <c r="AA15" s="25"/>
      <c r="AB15" s="260"/>
      <c r="AC15" s="25"/>
    </row>
    <row r="16" spans="2:30">
      <c r="B16" s="16" t="s">
        <v>127</v>
      </c>
      <c r="C16" s="260">
        <v>49367</v>
      </c>
      <c r="D16" s="19">
        <v>14840</v>
      </c>
      <c r="E16" s="25">
        <v>15599</v>
      </c>
      <c r="F16" s="25">
        <v>14311</v>
      </c>
      <c r="G16" s="19">
        <v>15963</v>
      </c>
      <c r="H16" s="258">
        <v>60713</v>
      </c>
      <c r="I16" s="25">
        <v>16970</v>
      </c>
      <c r="J16" s="25">
        <v>16940</v>
      </c>
      <c r="K16" s="25">
        <v>20469</v>
      </c>
      <c r="L16" s="25">
        <v>31318</v>
      </c>
      <c r="M16" s="258">
        <v>85697</v>
      </c>
      <c r="N16" s="25">
        <v>23722</v>
      </c>
      <c r="O16" s="25">
        <v>26445</v>
      </c>
      <c r="P16" s="25">
        <v>27403</v>
      </c>
      <c r="Q16" s="25">
        <v>28411</v>
      </c>
      <c r="R16" s="260">
        <f>Q16+P16+O16+N16</f>
        <v>105981</v>
      </c>
      <c r="S16" s="25">
        <v>26989</v>
      </c>
      <c r="T16" s="25">
        <v>31035</v>
      </c>
      <c r="U16" s="25">
        <v>30608</v>
      </c>
      <c r="V16" s="25">
        <v>46479</v>
      </c>
      <c r="W16" s="260">
        <f>V16+U16+T16+S16</f>
        <v>135111</v>
      </c>
      <c r="X16" s="25">
        <v>34776</v>
      </c>
      <c r="Y16" s="25">
        <v>35788</v>
      </c>
      <c r="Z16" s="25">
        <v>41870</v>
      </c>
      <c r="AA16" s="25">
        <v>45501</v>
      </c>
      <c r="AB16" s="260">
        <f>AA16+Z16+Y16+X16</f>
        <v>157935</v>
      </c>
      <c r="AC16" s="25">
        <v>47661</v>
      </c>
    </row>
    <row r="17" spans="2:29">
      <c r="B17" s="16" t="s">
        <v>128</v>
      </c>
      <c r="C17" s="260">
        <v>59258</v>
      </c>
      <c r="D17" s="19">
        <v>24091</v>
      </c>
      <c r="E17" s="25">
        <v>25981</v>
      </c>
      <c r="F17" s="25">
        <v>27832</v>
      </c>
      <c r="G17" s="19">
        <v>30735</v>
      </c>
      <c r="H17" s="258">
        <v>108639</v>
      </c>
      <c r="I17" s="25">
        <v>33323</v>
      </c>
      <c r="J17" s="25">
        <v>35940</v>
      </c>
      <c r="K17" s="25">
        <v>40054</v>
      </c>
      <c r="L17" s="25">
        <v>49223</v>
      </c>
      <c r="M17" s="258">
        <v>158540</v>
      </c>
      <c r="N17" s="25">
        <v>43144</v>
      </c>
      <c r="O17" s="25">
        <v>45204</v>
      </c>
      <c r="P17" s="25">
        <v>51993</v>
      </c>
      <c r="Q17" s="25">
        <v>48564</v>
      </c>
      <c r="R17" s="260">
        <f>Q17+P17+O17+N17</f>
        <v>188905</v>
      </c>
      <c r="S17" s="25">
        <v>38627</v>
      </c>
      <c r="T17" s="25">
        <v>41705</v>
      </c>
      <c r="U17" s="25">
        <v>43904</v>
      </c>
      <c r="V17" s="25">
        <v>53307</v>
      </c>
      <c r="W17" s="260">
        <f>V17+U17+T17+S17</f>
        <v>177543</v>
      </c>
      <c r="X17" s="25">
        <v>41979</v>
      </c>
      <c r="Y17" s="25">
        <v>39509</v>
      </c>
      <c r="Z17" s="25">
        <v>46324</v>
      </c>
      <c r="AA17" s="25">
        <v>54951</v>
      </c>
      <c r="AB17" s="260">
        <f>AA17+Z17+Y17+X17</f>
        <v>182763</v>
      </c>
      <c r="AC17" s="25">
        <v>51280</v>
      </c>
    </row>
    <row r="18" spans="2:29">
      <c r="B18" s="16" t="s">
        <v>129</v>
      </c>
      <c r="C18" s="260">
        <v>92898</v>
      </c>
      <c r="D18" s="19">
        <v>23587</v>
      </c>
      <c r="E18" s="25">
        <v>23724</v>
      </c>
      <c r="F18" s="25">
        <v>20929</v>
      </c>
      <c r="G18" s="19">
        <v>16914</v>
      </c>
      <c r="H18" s="258">
        <v>85154</v>
      </c>
      <c r="I18" s="25">
        <v>18125</v>
      </c>
      <c r="J18" s="25">
        <v>25176</v>
      </c>
      <c r="K18" s="25">
        <v>27828</v>
      </c>
      <c r="L18" s="25">
        <v>27749</v>
      </c>
      <c r="M18" s="258">
        <v>98878</v>
      </c>
      <c r="N18" s="25">
        <v>25318</v>
      </c>
      <c r="O18" s="25">
        <v>27262</v>
      </c>
      <c r="P18" s="25">
        <v>26107</v>
      </c>
      <c r="Q18" s="25">
        <v>30216</v>
      </c>
      <c r="R18" s="260">
        <f>Q18+P18+O18+N18</f>
        <v>108903</v>
      </c>
      <c r="S18" s="25">
        <v>23368</v>
      </c>
      <c r="T18" s="25">
        <v>24495</v>
      </c>
      <c r="U18" s="25">
        <v>23943</v>
      </c>
      <c r="V18" s="25">
        <v>32395</v>
      </c>
      <c r="W18" s="260">
        <f>V18+U18+T18+S18</f>
        <v>104201</v>
      </c>
      <c r="X18" s="25">
        <v>24291</v>
      </c>
      <c r="Y18" s="25">
        <v>23078</v>
      </c>
      <c r="Z18" s="25">
        <v>27639</v>
      </c>
      <c r="AA18" s="25">
        <v>29583</v>
      </c>
      <c r="AB18" s="260">
        <f>AA18+Z18+Y18+X18</f>
        <v>104591</v>
      </c>
      <c r="AC18" s="25">
        <v>27144</v>
      </c>
    </row>
    <row r="19" spans="2:29">
      <c r="B19" s="20" t="s">
        <v>130</v>
      </c>
      <c r="C19" s="262">
        <v>4673</v>
      </c>
      <c r="D19" s="27">
        <v>-3</v>
      </c>
      <c r="E19" s="27">
        <v>2833</v>
      </c>
      <c r="F19" s="27">
        <v>-788</v>
      </c>
      <c r="G19" s="27">
        <v>681</v>
      </c>
      <c r="H19" s="262">
        <v>2723</v>
      </c>
      <c r="I19" s="26">
        <v>1</v>
      </c>
      <c r="J19" s="26">
        <v>489</v>
      </c>
      <c r="K19" s="26">
        <v>5043</v>
      </c>
      <c r="L19" s="26">
        <v>14400</v>
      </c>
      <c r="M19" s="259">
        <v>19933</v>
      </c>
      <c r="N19" s="26">
        <v>2276</v>
      </c>
      <c r="O19" s="26">
        <v>45</v>
      </c>
      <c r="P19" s="26">
        <v>233</v>
      </c>
      <c r="Q19" s="284">
        <v>2447</v>
      </c>
      <c r="R19" s="262">
        <f>Q19+P19+O19+N19</f>
        <v>5001</v>
      </c>
      <c r="S19" s="26">
        <v>1995</v>
      </c>
      <c r="T19" s="36">
        <v>-619</v>
      </c>
      <c r="U19" s="36">
        <v>-6</v>
      </c>
      <c r="V19" s="36">
        <v>1345</v>
      </c>
      <c r="W19" s="262">
        <f>V19+U19+T19+S19</f>
        <v>2715</v>
      </c>
      <c r="X19" s="27">
        <f>1278</f>
        <v>1278</v>
      </c>
      <c r="Y19" s="27">
        <v>18</v>
      </c>
      <c r="Z19" s="40">
        <v>0</v>
      </c>
      <c r="AA19" s="36">
        <v>183</v>
      </c>
      <c r="AB19" s="262">
        <f>AA19+Z19+Y19+X19</f>
        <v>1479</v>
      </c>
      <c r="AC19" s="304">
        <v>739</v>
      </c>
    </row>
    <row r="20" spans="2:29">
      <c r="B20" s="16" t="s">
        <v>131</v>
      </c>
      <c r="C20" s="260">
        <f>SUM(C16:C19)</f>
        <v>206196</v>
      </c>
      <c r="D20" s="25">
        <v>62515</v>
      </c>
      <c r="E20" s="25">
        <v>68137</v>
      </c>
      <c r="F20" s="25">
        <v>62284</v>
      </c>
      <c r="G20" s="25">
        <v>64293</v>
      </c>
      <c r="H20" s="260">
        <v>257229</v>
      </c>
      <c r="I20" s="25">
        <v>68419</v>
      </c>
      <c r="J20" s="25">
        <v>78545</v>
      </c>
      <c r="K20" s="25">
        <v>93394</v>
      </c>
      <c r="L20" s="25">
        <v>122690</v>
      </c>
      <c r="M20" s="260">
        <v>363048</v>
      </c>
      <c r="N20" s="25">
        <f t="shared" ref="N20:S20" si="8">SUM(N16:N19)</f>
        <v>94460</v>
      </c>
      <c r="O20" s="25">
        <f t="shared" si="8"/>
        <v>98956</v>
      </c>
      <c r="P20" s="25">
        <f t="shared" si="8"/>
        <v>105736</v>
      </c>
      <c r="Q20" s="25">
        <f>SUM(Q16:Q19)</f>
        <v>109638</v>
      </c>
      <c r="R20" s="260">
        <f>SUM(R16:R19)</f>
        <v>408790</v>
      </c>
      <c r="S20" s="25">
        <f t="shared" si="8"/>
        <v>90979</v>
      </c>
      <c r="T20" s="25">
        <f>SUM(T16:T19)</f>
        <v>96616</v>
      </c>
      <c r="U20" s="25">
        <f>SUM(U16:U19)</f>
        <v>98449</v>
      </c>
      <c r="V20" s="25">
        <f>SUM(V16:V19)</f>
        <v>133526</v>
      </c>
      <c r="W20" s="260">
        <f>SUM(W16:W19)</f>
        <v>419570</v>
      </c>
      <c r="X20" s="25">
        <f t="shared" ref="X20:Y20" si="9">SUM(X16:X19)</f>
        <v>102324</v>
      </c>
      <c r="Y20" s="25">
        <f t="shared" si="9"/>
        <v>98393</v>
      </c>
      <c r="Z20" s="25">
        <f t="shared" ref="Z20" si="10">SUM(Z16:Z19)</f>
        <v>115833</v>
      </c>
      <c r="AA20" s="25">
        <f>SUM(AA16:AA19)</f>
        <v>130218</v>
      </c>
      <c r="AB20" s="260">
        <f>SUM(AB16:AB19)</f>
        <v>446768</v>
      </c>
      <c r="AC20" s="25">
        <f>SUM(AC16:AC19)</f>
        <v>126824</v>
      </c>
    </row>
    <row r="21" spans="2:29">
      <c r="B21" s="28"/>
      <c r="C21" s="263"/>
      <c r="D21" s="29"/>
      <c r="E21" s="29"/>
      <c r="F21" s="29"/>
      <c r="G21" s="29"/>
      <c r="H21" s="273"/>
      <c r="I21" s="29"/>
      <c r="J21" s="29"/>
      <c r="K21" s="29"/>
      <c r="L21" s="29"/>
      <c r="M21" s="263"/>
      <c r="N21" s="29"/>
      <c r="O21" s="29"/>
      <c r="P21" s="29"/>
      <c r="Q21" s="29"/>
      <c r="R21" s="263"/>
      <c r="S21" s="29"/>
      <c r="T21" s="29"/>
      <c r="U21" s="29"/>
      <c r="V21" s="29"/>
      <c r="W21" s="263"/>
      <c r="X21" s="29"/>
      <c r="Y21" s="29"/>
      <c r="Z21" s="29"/>
      <c r="AA21" s="29"/>
      <c r="AB21" s="263"/>
      <c r="AC21" s="29"/>
    </row>
    <row r="22" spans="2:29">
      <c r="B22" s="28" t="s">
        <v>132</v>
      </c>
      <c r="C22" s="264">
        <f>C12-C20</f>
        <v>-131412</v>
      </c>
      <c r="D22" s="30">
        <v>-39819</v>
      </c>
      <c r="E22" s="30">
        <v>-38133</v>
      </c>
      <c r="F22" s="30">
        <v>-27689</v>
      </c>
      <c r="G22" s="30">
        <v>-27883</v>
      </c>
      <c r="H22" s="264">
        <v>-133524</v>
      </c>
      <c r="I22" s="30">
        <v>-29602</v>
      </c>
      <c r="J22" s="30">
        <v>-38199</v>
      </c>
      <c r="K22" s="30">
        <v>-48211</v>
      </c>
      <c r="L22" s="30">
        <v>-82134</v>
      </c>
      <c r="M22" s="264">
        <v>-198146</v>
      </c>
      <c r="N22" s="30">
        <f t="shared" ref="N22:S22" si="11">N12-N20</f>
        <v>-48375</v>
      </c>
      <c r="O22" s="30">
        <f t="shared" si="11"/>
        <v>-50273</v>
      </c>
      <c r="P22" s="30">
        <f t="shared" si="11"/>
        <v>-41485</v>
      </c>
      <c r="Q22" s="30">
        <f t="shared" si="11"/>
        <v>-40789</v>
      </c>
      <c r="R22" s="264">
        <f t="shared" si="11"/>
        <v>-180922</v>
      </c>
      <c r="S22" s="30">
        <f t="shared" si="11"/>
        <v>-26007</v>
      </c>
      <c r="T22" s="30">
        <f>T12-T20</f>
        <v>-26852</v>
      </c>
      <c r="U22" s="30">
        <f>U12-U20</f>
        <v>-15781</v>
      </c>
      <c r="V22" s="30">
        <f>V12-V20</f>
        <v>-51908</v>
      </c>
      <c r="W22" s="264">
        <f t="shared" ref="W22:X22" si="12">W12-W20</f>
        <v>-120548</v>
      </c>
      <c r="X22" s="30">
        <f t="shared" si="12"/>
        <v>-17601</v>
      </c>
      <c r="Y22" s="30">
        <f t="shared" ref="Y22:Z22" si="13">Y12-Y20</f>
        <v>-6182</v>
      </c>
      <c r="Z22" s="30">
        <f t="shared" si="13"/>
        <v>-13786</v>
      </c>
      <c r="AA22" s="30">
        <f>AA12-AA20</f>
        <v>-27969</v>
      </c>
      <c r="AB22" s="264">
        <f t="shared" ref="AB22" si="14">AB12-AB20</f>
        <v>-65538</v>
      </c>
      <c r="AC22" s="30">
        <f>AC12-AC20</f>
        <v>-25602</v>
      </c>
    </row>
    <row r="23" spans="2:29">
      <c r="B23" s="31" t="s">
        <v>133</v>
      </c>
      <c r="C23" s="265">
        <f>C22/C9</f>
        <v>-0.75195696955825131</v>
      </c>
      <c r="D23" s="32">
        <v>-0.85161580084265454</v>
      </c>
      <c r="E23" s="32">
        <v>-0.70599670449706553</v>
      </c>
      <c r="F23" s="32">
        <v>-0.46834458145159924</v>
      </c>
      <c r="G23" s="32">
        <v>-0.46309583125726622</v>
      </c>
      <c r="H23" s="265">
        <v>-0.60664876579388549</v>
      </c>
      <c r="I23" s="32">
        <v>-0.4738518672664116</v>
      </c>
      <c r="J23" s="32">
        <v>-0.58938159600074058</v>
      </c>
      <c r="K23" s="32">
        <v>-0.60247934917084267</v>
      </c>
      <c r="L23" s="32">
        <v>-1.0487512130343735</v>
      </c>
      <c r="M23" s="265">
        <v>-0.69373993417827884</v>
      </c>
      <c r="N23" s="32">
        <f t="shared" ref="N23:S23" si="15">N22/N9</f>
        <v>-0.58628546496830725</v>
      </c>
      <c r="O23" s="32">
        <f t="shared" si="15"/>
        <v>-0.55770276116836581</v>
      </c>
      <c r="P23" s="32">
        <f t="shared" si="15"/>
        <v>-0.40585225549566117</v>
      </c>
      <c r="Q23" s="32">
        <f t="shared" si="15"/>
        <v>-0.38589038892725708</v>
      </c>
      <c r="R23" s="265">
        <f t="shared" si="15"/>
        <v>-0.4753949318394417</v>
      </c>
      <c r="S23" s="32">
        <f t="shared" si="15"/>
        <v>-0.26154248418596698</v>
      </c>
      <c r="T23" s="32">
        <f>T22/T9</f>
        <v>-0.25656166098164551</v>
      </c>
      <c r="U23" s="32">
        <f>U22/U9</f>
        <v>-0.13177957963474818</v>
      </c>
      <c r="V23" s="32">
        <f>V22/V9</f>
        <v>-0.43556114956996012</v>
      </c>
      <c r="W23" s="265">
        <f t="shared" ref="W23:X23" si="16">W22/W9</f>
        <v>-0.27210141165529789</v>
      </c>
      <c r="X23" s="32">
        <f t="shared" si="16"/>
        <v>-0.14786034711604698</v>
      </c>
      <c r="Y23" s="32">
        <f t="shared" ref="Y23:Z23" si="17">Y22/Y9</f>
        <v>-4.8566266006756224E-2</v>
      </c>
      <c r="Z23" s="32">
        <f t="shared" si="17"/>
        <v>-9.8048419675115933E-2</v>
      </c>
      <c r="AA23" s="32">
        <f>AA22/AA9</f>
        <v>-0.19734697477509261</v>
      </c>
      <c r="AB23" s="265">
        <f t="shared" ref="AB23" si="18">AB22/AB9</f>
        <v>-0.12397074095301869</v>
      </c>
      <c r="AC23" s="32">
        <f>AC22/AC9</f>
        <v>-0.17998776741210465</v>
      </c>
    </row>
    <row r="24" spans="2:29">
      <c r="B24" s="28"/>
      <c r="C24" s="266"/>
      <c r="D24" s="33"/>
      <c r="E24" s="33"/>
      <c r="F24" s="33"/>
      <c r="G24" s="34"/>
      <c r="H24" s="274"/>
      <c r="I24" s="33"/>
      <c r="J24" s="33"/>
      <c r="K24" s="33"/>
      <c r="L24" s="33"/>
      <c r="M24" s="266"/>
      <c r="N24" s="33"/>
      <c r="O24" s="33"/>
      <c r="P24" s="33"/>
      <c r="Q24" s="33"/>
      <c r="R24" s="266"/>
      <c r="S24" s="33"/>
      <c r="T24" s="33"/>
      <c r="U24" s="33"/>
      <c r="V24" s="33"/>
      <c r="W24" s="266"/>
      <c r="X24" s="33"/>
      <c r="Y24" s="33"/>
      <c r="Z24" s="33"/>
      <c r="AA24" s="33"/>
      <c r="AB24" s="266"/>
      <c r="AC24" s="33"/>
    </row>
    <row r="25" spans="2:29">
      <c r="B25" s="35" t="s">
        <v>211</v>
      </c>
      <c r="C25" s="267">
        <v>652</v>
      </c>
      <c r="D25" s="27">
        <v>-580</v>
      </c>
      <c r="E25" s="36">
        <v>263</v>
      </c>
      <c r="F25" s="36">
        <v>432</v>
      </c>
      <c r="G25" s="36">
        <v>387</v>
      </c>
      <c r="H25" s="267">
        <v>502</v>
      </c>
      <c r="I25" s="36">
        <v>356</v>
      </c>
      <c r="J25" s="36">
        <v>-281</v>
      </c>
      <c r="K25" s="36">
        <v>10404</v>
      </c>
      <c r="L25" s="36">
        <v>8311</v>
      </c>
      <c r="M25" s="259">
        <v>18790</v>
      </c>
      <c r="N25" s="36">
        <v>5882</v>
      </c>
      <c r="O25" s="36">
        <v>4780</v>
      </c>
      <c r="P25" s="36">
        <v>3158</v>
      </c>
      <c r="Q25" s="36">
        <v>1565</v>
      </c>
      <c r="R25" s="262">
        <f>Q25+P25+O25+N25</f>
        <v>15385</v>
      </c>
      <c r="S25" s="36">
        <v>463</v>
      </c>
      <c r="T25" s="36">
        <v>-225</v>
      </c>
      <c r="U25" s="36">
        <v>-86</v>
      </c>
      <c r="V25" s="36">
        <v>-404</v>
      </c>
      <c r="W25" s="288">
        <f>V25+U25+T25+S25</f>
        <v>-252</v>
      </c>
      <c r="X25" s="36">
        <v>30601</v>
      </c>
      <c r="Y25" s="36">
        <v>150</v>
      </c>
      <c r="Z25" s="36">
        <v>-241</v>
      </c>
      <c r="AA25" s="36">
        <v>-47</v>
      </c>
      <c r="AB25" s="298">
        <f>AA25+Z25+Y25+X25</f>
        <v>30463</v>
      </c>
      <c r="AC25" s="36">
        <v>699</v>
      </c>
    </row>
    <row r="26" spans="2:29">
      <c r="B26" s="28"/>
      <c r="C26" s="263"/>
      <c r="D26" s="29"/>
      <c r="E26" s="29"/>
      <c r="F26" s="29"/>
      <c r="G26" s="29"/>
      <c r="H26" s="263"/>
      <c r="I26" s="29"/>
      <c r="J26" s="29"/>
      <c r="K26" s="29"/>
      <c r="L26" s="29"/>
      <c r="M26" s="263"/>
      <c r="N26" s="29"/>
      <c r="O26" s="29"/>
      <c r="P26" s="29"/>
      <c r="Q26" s="29"/>
      <c r="R26" s="263"/>
      <c r="S26" s="29"/>
      <c r="T26" s="29"/>
      <c r="U26" s="29"/>
      <c r="V26" s="29"/>
      <c r="W26" s="263"/>
      <c r="X26" s="29"/>
      <c r="Y26" s="29"/>
      <c r="Z26" s="29"/>
      <c r="AA26" s="29"/>
      <c r="AB26" s="263"/>
      <c r="AC26" s="29"/>
    </row>
    <row r="27" spans="2:29">
      <c r="B27" s="28" t="s">
        <v>197</v>
      </c>
      <c r="C27" s="264">
        <v>-130760</v>
      </c>
      <c r="D27" s="30">
        <v>-40399</v>
      </c>
      <c r="E27" s="30">
        <v>-37870</v>
      </c>
      <c r="F27" s="30">
        <v>-27257</v>
      </c>
      <c r="G27" s="30">
        <v>-27496</v>
      </c>
      <c r="H27" s="264">
        <v>-133022</v>
      </c>
      <c r="I27" s="30">
        <v>-29246</v>
      </c>
      <c r="J27" s="30">
        <v>-38480</v>
      </c>
      <c r="K27" s="30">
        <v>-37807</v>
      </c>
      <c r="L27" s="30">
        <v>-73823</v>
      </c>
      <c r="M27" s="264">
        <v>-179356</v>
      </c>
      <c r="N27" s="30">
        <f t="shared" ref="N27:T27" si="19">N22+N25</f>
        <v>-42493</v>
      </c>
      <c r="O27" s="30">
        <f t="shared" si="19"/>
        <v>-45493</v>
      </c>
      <c r="P27" s="30">
        <f t="shared" si="19"/>
        <v>-38327</v>
      </c>
      <c r="Q27" s="30">
        <f t="shared" si="19"/>
        <v>-39224</v>
      </c>
      <c r="R27" s="264">
        <f>R22+R25</f>
        <v>-165537</v>
      </c>
      <c r="S27" s="30">
        <f t="shared" si="19"/>
        <v>-25544</v>
      </c>
      <c r="T27" s="30">
        <f t="shared" si="19"/>
        <v>-27077</v>
      </c>
      <c r="U27" s="30">
        <f t="shared" ref="U27:V27" si="20">U22+U25</f>
        <v>-15867</v>
      </c>
      <c r="V27" s="30">
        <f t="shared" si="20"/>
        <v>-52312</v>
      </c>
      <c r="W27" s="264">
        <f>W22+W25</f>
        <v>-120800</v>
      </c>
      <c r="X27" s="30">
        <f t="shared" ref="X27:Y27" si="21">X22+X25</f>
        <v>13000</v>
      </c>
      <c r="Y27" s="30">
        <f t="shared" si="21"/>
        <v>-6032</v>
      </c>
      <c r="Z27" s="30">
        <f t="shared" ref="Z27:AA27" si="22">Z22+Z25</f>
        <v>-14027</v>
      </c>
      <c r="AA27" s="30">
        <f t="shared" si="22"/>
        <v>-28016</v>
      </c>
      <c r="AB27" s="264">
        <f>AB22+AB25</f>
        <v>-35075</v>
      </c>
      <c r="AC27" s="30">
        <f t="shared" ref="AC27" si="23">AC22+AC25</f>
        <v>-24903</v>
      </c>
    </row>
    <row r="28" spans="2:29">
      <c r="B28" s="28"/>
      <c r="C28" s="264"/>
      <c r="D28" s="30"/>
      <c r="E28" s="30"/>
      <c r="F28" s="30"/>
      <c r="G28" s="30"/>
      <c r="H28" s="264"/>
      <c r="I28" s="30"/>
      <c r="J28" s="30"/>
      <c r="K28" s="30"/>
      <c r="L28" s="30"/>
      <c r="M28" s="264"/>
      <c r="N28" s="30"/>
      <c r="O28" s="30"/>
      <c r="P28" s="30"/>
      <c r="Q28" s="30"/>
      <c r="R28" s="264"/>
      <c r="S28" s="30"/>
      <c r="T28" s="30"/>
      <c r="U28" s="30"/>
      <c r="V28" s="30"/>
      <c r="W28" s="264"/>
      <c r="X28" s="30"/>
      <c r="Y28" s="30"/>
      <c r="Z28" s="30"/>
      <c r="AA28" s="30"/>
      <c r="AB28" s="264"/>
      <c r="AC28" s="30"/>
    </row>
    <row r="29" spans="2:29">
      <c r="B29" s="35" t="s">
        <v>6</v>
      </c>
      <c r="C29" s="268">
        <v>-45184</v>
      </c>
      <c r="D29" s="36">
        <v>-14184</v>
      </c>
      <c r="E29" s="27">
        <v>-12679</v>
      </c>
      <c r="F29" s="27">
        <v>-30374</v>
      </c>
      <c r="G29" s="27">
        <v>-8486</v>
      </c>
      <c r="H29" s="268">
        <v>-65723</v>
      </c>
      <c r="I29" s="27">
        <v>-1428</v>
      </c>
      <c r="J29" s="27">
        <v>2700</v>
      </c>
      <c r="K29" s="27">
        <v>-22546</v>
      </c>
      <c r="L29" s="27">
        <v>-24135</v>
      </c>
      <c r="M29" s="267">
        <v>-45409</v>
      </c>
      <c r="N29" s="27">
        <v>-353</v>
      </c>
      <c r="O29" s="27">
        <v>-5291</v>
      </c>
      <c r="P29" s="27">
        <v>-287</v>
      </c>
      <c r="Q29" s="36">
        <v>-34345</v>
      </c>
      <c r="R29" s="268">
        <f>Q29+P29+O29+N29</f>
        <v>-40276</v>
      </c>
      <c r="S29" s="27">
        <v>-3816</v>
      </c>
      <c r="T29" s="36">
        <v>-3109</v>
      </c>
      <c r="U29" s="36">
        <v>-4142</v>
      </c>
      <c r="V29" s="36">
        <v>-19465</v>
      </c>
      <c r="W29" s="268">
        <f>V29+U29+T29+S29</f>
        <v>-30532</v>
      </c>
      <c r="X29" s="27">
        <v>-4365</v>
      </c>
      <c r="Y29" s="27">
        <v>399</v>
      </c>
      <c r="Z29" s="27">
        <v>1348</v>
      </c>
      <c r="AA29" s="36">
        <v>1376</v>
      </c>
      <c r="AB29" s="268">
        <f>AA29+Z29+Y29+X29</f>
        <v>-1242</v>
      </c>
      <c r="AC29" s="36">
        <v>2315</v>
      </c>
    </row>
    <row r="30" spans="2:29">
      <c r="B30" s="28"/>
      <c r="C30" s="263"/>
      <c r="D30" s="29"/>
      <c r="E30" s="29"/>
      <c r="F30" s="29"/>
      <c r="G30" s="29"/>
      <c r="H30" s="263"/>
      <c r="I30" s="29"/>
      <c r="J30" s="29"/>
      <c r="K30" s="29"/>
      <c r="L30" s="29"/>
      <c r="M30" s="263"/>
      <c r="N30" s="29"/>
      <c r="O30" s="29"/>
      <c r="P30" s="29"/>
      <c r="Q30" s="29"/>
      <c r="R30" s="263"/>
      <c r="S30" s="29"/>
      <c r="T30" s="29"/>
      <c r="U30" s="29"/>
      <c r="V30" s="29"/>
      <c r="W30" s="263"/>
      <c r="X30" s="29"/>
      <c r="Y30" s="29"/>
      <c r="Z30" s="29"/>
      <c r="AA30" s="29"/>
      <c r="AB30" s="263"/>
      <c r="AC30" s="29"/>
    </row>
    <row r="31" spans="2:29">
      <c r="B31" s="37" t="s">
        <v>134</v>
      </c>
      <c r="C31" s="269">
        <v>-85576</v>
      </c>
      <c r="D31" s="38">
        <v>-26215</v>
      </c>
      <c r="E31" s="38">
        <v>-25191</v>
      </c>
      <c r="F31" s="38">
        <v>3117</v>
      </c>
      <c r="G31" s="38">
        <v>-19010</v>
      </c>
      <c r="H31" s="269">
        <v>-67299</v>
      </c>
      <c r="I31" s="38">
        <v>-27818</v>
      </c>
      <c r="J31" s="38">
        <v>-41180</v>
      </c>
      <c r="K31" s="38">
        <v>-15261</v>
      </c>
      <c r="L31" s="38">
        <v>-49688</v>
      </c>
      <c r="M31" s="269">
        <v>-133947</v>
      </c>
      <c r="N31" s="38">
        <f t="shared" ref="N31:T31" si="24">N27-N29</f>
        <v>-42140</v>
      </c>
      <c r="O31" s="38">
        <f t="shared" si="24"/>
        <v>-40202</v>
      </c>
      <c r="P31" s="38">
        <f t="shared" si="24"/>
        <v>-38040</v>
      </c>
      <c r="Q31" s="38">
        <f t="shared" si="24"/>
        <v>-4879</v>
      </c>
      <c r="R31" s="269">
        <f t="shared" si="24"/>
        <v>-125261</v>
      </c>
      <c r="S31" s="38">
        <f t="shared" si="24"/>
        <v>-21728</v>
      </c>
      <c r="T31" s="38">
        <f t="shared" si="24"/>
        <v>-23968</v>
      </c>
      <c r="U31" s="38">
        <f t="shared" ref="U31:X31" si="25">U27-U29</f>
        <v>-11725</v>
      </c>
      <c r="V31" s="38">
        <f t="shared" si="25"/>
        <v>-32847</v>
      </c>
      <c r="W31" s="269">
        <f t="shared" si="25"/>
        <v>-90268</v>
      </c>
      <c r="X31" s="38">
        <f t="shared" si="25"/>
        <v>17365</v>
      </c>
      <c r="Y31" s="38">
        <f t="shared" ref="Y31:AB31" si="26">Y27-Y29</f>
        <v>-6431</v>
      </c>
      <c r="Z31" s="38">
        <f t="shared" si="26"/>
        <v>-15375</v>
      </c>
      <c r="AA31" s="38">
        <f t="shared" si="26"/>
        <v>-29392</v>
      </c>
      <c r="AB31" s="269">
        <f t="shared" si="26"/>
        <v>-33833</v>
      </c>
      <c r="AC31" s="38">
        <f t="shared" ref="AC31" si="27">AC27-AC29</f>
        <v>-27218</v>
      </c>
    </row>
    <row r="32" spans="2:29">
      <c r="B32" s="37"/>
      <c r="C32" s="269"/>
      <c r="D32" s="38"/>
      <c r="E32" s="38"/>
      <c r="F32" s="38"/>
      <c r="G32" s="38"/>
      <c r="H32" s="269"/>
      <c r="I32" s="38"/>
      <c r="J32" s="38"/>
      <c r="K32" s="38"/>
      <c r="L32" s="38"/>
      <c r="M32" s="269"/>
      <c r="N32" s="38"/>
      <c r="O32" s="38"/>
      <c r="P32" s="38"/>
      <c r="Q32" s="38"/>
      <c r="R32" s="269"/>
      <c r="S32" s="38"/>
      <c r="T32" s="38"/>
      <c r="U32" s="38"/>
      <c r="V32" s="38"/>
      <c r="W32" s="269"/>
      <c r="X32" s="38"/>
      <c r="Y32" s="38"/>
      <c r="Z32" s="38"/>
      <c r="AA32" s="38"/>
      <c r="AB32" s="269"/>
      <c r="AC32" s="38"/>
    </row>
    <row r="33" spans="2:29">
      <c r="B33" s="35" t="s">
        <v>135</v>
      </c>
      <c r="C33" s="268">
        <v>89684</v>
      </c>
      <c r="D33" s="36">
        <v>24915</v>
      </c>
      <c r="E33" s="39">
        <v>21855</v>
      </c>
      <c r="F33" s="39">
        <v>19824</v>
      </c>
      <c r="G33" s="39">
        <v>24185</v>
      </c>
      <c r="H33" s="259">
        <v>90779</v>
      </c>
      <c r="I33" s="39">
        <v>24803</v>
      </c>
      <c r="J33" s="39">
        <v>61803</v>
      </c>
      <c r="K33" s="39">
        <v>1071661</v>
      </c>
      <c r="L33" s="27">
        <v>4227</v>
      </c>
      <c r="M33" s="267">
        <v>1162494</v>
      </c>
      <c r="N33" s="40">
        <v>0</v>
      </c>
      <c r="O33" s="40">
        <v>0</v>
      </c>
      <c r="P33" s="40">
        <v>0</v>
      </c>
      <c r="Q33" s="36">
        <v>750</v>
      </c>
      <c r="R33" s="268">
        <f>Q33+P33+O33+N33</f>
        <v>750</v>
      </c>
      <c r="S33" s="40">
        <v>0</v>
      </c>
      <c r="T33" s="40">
        <v>0</v>
      </c>
      <c r="U33" s="40">
        <v>0</v>
      </c>
      <c r="V33" s="40">
        <v>0</v>
      </c>
      <c r="W33" s="289">
        <f>V33+U33+T33+S33</f>
        <v>0</v>
      </c>
      <c r="X33" s="40">
        <v>0</v>
      </c>
      <c r="Y33" s="40">
        <v>0</v>
      </c>
      <c r="Z33" s="40">
        <v>0</v>
      </c>
      <c r="AA33" s="40">
        <v>0</v>
      </c>
      <c r="AB33" s="289">
        <f>AA33+Z33+Y33+X33</f>
        <v>0</v>
      </c>
      <c r="AC33" s="40">
        <v>0</v>
      </c>
    </row>
    <row r="34" spans="2:29">
      <c r="B34" s="37"/>
      <c r="C34" s="269"/>
      <c r="D34" s="38"/>
      <c r="E34" s="38"/>
      <c r="F34" s="38"/>
      <c r="G34" s="38"/>
      <c r="H34" s="269"/>
      <c r="I34" s="38"/>
      <c r="J34" s="38"/>
      <c r="K34" s="38"/>
      <c r="L34" s="38"/>
      <c r="M34" s="269"/>
      <c r="N34" s="38"/>
      <c r="O34" s="38"/>
      <c r="P34" s="38"/>
      <c r="Q34" s="38"/>
      <c r="R34" s="269"/>
      <c r="S34" s="38"/>
      <c r="T34" s="38"/>
      <c r="U34" s="38"/>
      <c r="V34" s="38"/>
      <c r="W34" s="269"/>
      <c r="X34" s="38"/>
      <c r="Y34" s="38"/>
      <c r="Z34" s="38"/>
      <c r="AA34" s="38"/>
      <c r="AB34" s="269"/>
      <c r="AC34" s="38"/>
    </row>
    <row r="35" spans="2:29">
      <c r="B35" s="28" t="s">
        <v>136</v>
      </c>
      <c r="C35" s="269">
        <v>4108</v>
      </c>
      <c r="D35" s="38">
        <v>-1300</v>
      </c>
      <c r="E35" s="38">
        <v>-3336</v>
      </c>
      <c r="F35" s="38">
        <v>22941</v>
      </c>
      <c r="G35" s="38">
        <v>5175</v>
      </c>
      <c r="H35" s="269">
        <v>23480</v>
      </c>
      <c r="I35" s="38">
        <v>-3015</v>
      </c>
      <c r="J35" s="38">
        <v>20623</v>
      </c>
      <c r="K35" s="38">
        <v>1056400</v>
      </c>
      <c r="L35" s="38">
        <f>L31+L33</f>
        <v>-45461</v>
      </c>
      <c r="M35" s="269">
        <f>M31+M33</f>
        <v>1028547</v>
      </c>
      <c r="N35" s="38">
        <f>N31+N33</f>
        <v>-42140</v>
      </c>
      <c r="O35" s="38">
        <f t="shared" ref="O35:P35" si="28">O31+O33</f>
        <v>-40202</v>
      </c>
      <c r="P35" s="38">
        <f t="shared" si="28"/>
        <v>-38040</v>
      </c>
      <c r="Q35" s="38">
        <f t="shared" ref="Q35:R35" si="29">Q31+Q33</f>
        <v>-4129</v>
      </c>
      <c r="R35" s="269">
        <f t="shared" si="29"/>
        <v>-124511</v>
      </c>
      <c r="S35" s="38">
        <f t="shared" ref="S35" si="30">S31+S33</f>
        <v>-21728</v>
      </c>
      <c r="T35" s="38">
        <f t="shared" ref="T35:U35" si="31">T31+T33</f>
        <v>-23968</v>
      </c>
      <c r="U35" s="38">
        <f t="shared" si="31"/>
        <v>-11725</v>
      </c>
      <c r="V35" s="38">
        <f t="shared" ref="V35:X35" si="32">V31+V33</f>
        <v>-32847</v>
      </c>
      <c r="W35" s="269">
        <f t="shared" si="32"/>
        <v>-90268</v>
      </c>
      <c r="X35" s="38">
        <f t="shared" si="32"/>
        <v>17365</v>
      </c>
      <c r="Y35" s="38">
        <f t="shared" ref="Y35:AB35" si="33">Y31+Y33</f>
        <v>-6431</v>
      </c>
      <c r="Z35" s="38">
        <f t="shared" si="33"/>
        <v>-15375</v>
      </c>
      <c r="AA35" s="38">
        <f t="shared" si="33"/>
        <v>-29392</v>
      </c>
      <c r="AB35" s="269">
        <f t="shared" si="33"/>
        <v>-33833</v>
      </c>
      <c r="AC35" s="38">
        <f t="shared" ref="AC35" si="34">AC31+AC33</f>
        <v>-27218</v>
      </c>
    </row>
    <row r="36" spans="2:29">
      <c r="B36" s="28"/>
      <c r="C36" s="270"/>
      <c r="D36" s="41"/>
      <c r="E36" s="41"/>
      <c r="F36" s="41"/>
      <c r="G36" s="41"/>
      <c r="H36" s="270"/>
      <c r="I36" s="41"/>
      <c r="J36" s="41"/>
      <c r="K36" s="41"/>
      <c r="L36" s="41"/>
      <c r="M36" s="270"/>
      <c r="N36" s="41"/>
      <c r="O36" s="41"/>
      <c r="P36" s="41"/>
      <c r="Q36" s="41"/>
      <c r="R36" s="270"/>
      <c r="S36" s="41"/>
      <c r="T36" s="41"/>
      <c r="U36" s="41"/>
      <c r="V36" s="41"/>
      <c r="W36" s="270"/>
      <c r="X36" s="41"/>
      <c r="Y36" s="41"/>
      <c r="Z36" s="41"/>
      <c r="AA36" s="41"/>
      <c r="AB36" s="270"/>
      <c r="AC36" s="41"/>
    </row>
    <row r="37" spans="2:29" ht="13.5" thickBot="1">
      <c r="B37" s="42" t="s">
        <v>137</v>
      </c>
      <c r="C37" s="271">
        <v>0.05</v>
      </c>
      <c r="D37" s="43">
        <v>-1.6524303437055115E-2</v>
      </c>
      <c r="E37" s="43">
        <v>-4.2102606171515115E-2</v>
      </c>
      <c r="F37" s="43">
        <v>0.28021595475698985</v>
      </c>
      <c r="G37" s="43">
        <v>6.5827969572849615E-2</v>
      </c>
      <c r="H37" s="271">
        <v>0.29762583818179511</v>
      </c>
      <c r="I37" s="43">
        <v>-3.9188925716513938E-2</v>
      </c>
      <c r="J37" s="43">
        <v>0.26628189236649108</v>
      </c>
      <c r="K37" s="43">
        <v>13.65</v>
      </c>
      <c r="L37" s="43">
        <v>-0.66561735896572427</v>
      </c>
      <c r="M37" s="271">
        <v>13.710303918954946</v>
      </c>
      <c r="N37" s="43">
        <v>-0.61</v>
      </c>
      <c r="O37" s="43">
        <f>O35/67684</f>
        <v>-0.59396607765498488</v>
      </c>
      <c r="P37" s="43">
        <f>P35/67473</f>
        <v>-0.56378106798274863</v>
      </c>
      <c r="Q37" s="43">
        <f>Q35/66977</f>
        <v>-6.1648028427669199E-2</v>
      </c>
      <c r="R37" s="271">
        <v>-1.84</v>
      </c>
      <c r="S37" s="43">
        <f>S35/65570</f>
        <v>-0.33137105383559556</v>
      </c>
      <c r="T37" s="43">
        <f>T35/66010</f>
        <v>-0.36309650053022269</v>
      </c>
      <c r="U37" s="43">
        <f>U35/66523</f>
        <v>-0.17625482915683297</v>
      </c>
      <c r="V37" s="43">
        <f>V35/67111</f>
        <v>-0.48944286331599884</v>
      </c>
      <c r="W37" s="271">
        <f>EPS!W16</f>
        <v>-1.3614364249247777</v>
      </c>
      <c r="X37" s="43">
        <f>X35/EPS!X35</f>
        <v>0.24947920408016666</v>
      </c>
      <c r="Y37" s="43">
        <f>Y35/EPS!Y34</f>
        <v>-9.451515240586697E-2</v>
      </c>
      <c r="Z37" s="43">
        <f>Z35/EPS!Z34</f>
        <v>-0.22547294324681039</v>
      </c>
      <c r="AA37" s="43">
        <f>AA35/68283</f>
        <v>-0.43044388793696819</v>
      </c>
      <c r="AB37" s="271">
        <f>EPS!AB16</f>
        <v>-0.4960050431748545</v>
      </c>
      <c r="AC37" s="43">
        <f>AC35/EPS!AC34</f>
        <v>-0.39790652456763592</v>
      </c>
    </row>
    <row r="38" spans="2:29" ht="13.5" thickTop="1">
      <c r="B38" s="28"/>
      <c r="C38" s="272"/>
      <c r="D38" s="37"/>
      <c r="E38" s="37"/>
      <c r="F38" s="37"/>
      <c r="G38" s="37"/>
      <c r="H38" s="272"/>
      <c r="I38" s="37"/>
      <c r="J38" s="37"/>
      <c r="K38" s="37"/>
      <c r="L38" s="37"/>
      <c r="M38" s="272"/>
      <c r="N38" s="37"/>
      <c r="O38" s="37"/>
      <c r="P38" s="37"/>
      <c r="Q38" s="37"/>
      <c r="R38" s="272"/>
      <c r="S38" s="37"/>
      <c r="T38" s="37"/>
      <c r="U38" s="37"/>
      <c r="V38" s="37"/>
      <c r="W38" s="272"/>
      <c r="X38" s="37"/>
      <c r="Y38" s="37"/>
      <c r="Z38" s="37"/>
      <c r="AA38" s="37"/>
      <c r="AB38" s="272"/>
      <c r="AC38" s="37"/>
    </row>
    <row r="39" spans="2:29" ht="13.5" thickBot="1">
      <c r="B39" s="44" t="s">
        <v>138</v>
      </c>
      <c r="C39" s="271">
        <v>-1.1000000000000001</v>
      </c>
      <c r="D39" s="43">
        <v>-0.33321893430953836</v>
      </c>
      <c r="E39" s="43">
        <v>-0.3179276834732126</v>
      </c>
      <c r="F39" s="43">
        <v>3.8073019091475403E-2</v>
      </c>
      <c r="G39" s="43">
        <v>-0.24181443508789782</v>
      </c>
      <c r="H39" s="271">
        <v>-0.85306308704414957</v>
      </c>
      <c r="I39" s="43">
        <v>-0.3615779554169104</v>
      </c>
      <c r="J39" s="43">
        <v>-0.53171160004131801</v>
      </c>
      <c r="K39" s="43">
        <v>-0.2</v>
      </c>
      <c r="L39" s="43">
        <v>-0.72750699131758889</v>
      </c>
      <c r="M39" s="271">
        <v>-1.7854838709677419</v>
      </c>
      <c r="N39" s="43">
        <v>-0.61</v>
      </c>
      <c r="O39" s="43">
        <f t="shared" ref="O39" si="35">O35/67684</f>
        <v>-0.59396607765498488</v>
      </c>
      <c r="P39" s="43">
        <f>P35/67473</f>
        <v>-0.56378106798274863</v>
      </c>
      <c r="Q39" s="43">
        <v>-7.0000000000000007E-2</v>
      </c>
      <c r="R39" s="271">
        <v>-1.85</v>
      </c>
      <c r="S39" s="43">
        <f>S35/65570</f>
        <v>-0.33137105383559556</v>
      </c>
      <c r="T39" s="43">
        <f>T35/66010</f>
        <v>-0.36309650053022269</v>
      </c>
      <c r="U39" s="43">
        <f>U35/66523</f>
        <v>-0.17625482915683297</v>
      </c>
      <c r="V39" s="43">
        <f>V35/67111</f>
        <v>-0.48944286331599884</v>
      </c>
      <c r="W39" s="271">
        <f>EPS!W16</f>
        <v>-1.3614364249247777</v>
      </c>
      <c r="X39" s="43">
        <f>X35/EPS!X35</f>
        <v>0.24947920408016666</v>
      </c>
      <c r="Y39" s="43">
        <f>Y35/EPS!Y34</f>
        <v>-9.451515240586697E-2</v>
      </c>
      <c r="Z39" s="43">
        <f>Z35/EPS!Z34</f>
        <v>-0.22547294324681039</v>
      </c>
      <c r="AA39" s="43">
        <f>AA35/68283</f>
        <v>-0.43044388793696819</v>
      </c>
      <c r="AB39" s="271">
        <f>EPS!AB16</f>
        <v>-0.4960050431748545</v>
      </c>
      <c r="AC39" s="43">
        <f>AC35/EPS!AC34</f>
        <v>-0.39790652456763592</v>
      </c>
    </row>
    <row r="40" spans="2:29" ht="13.5" thickTop="1">
      <c r="B40" s="45"/>
    </row>
    <row r="41" spans="2:29">
      <c r="B41" s="45" t="s">
        <v>182</v>
      </c>
    </row>
    <row r="47" spans="2:29" ht="15">
      <c r="B47" s="11" t="s">
        <v>140</v>
      </c>
      <c r="C47" s="11"/>
      <c r="D47" s="12"/>
      <c r="E47" s="12"/>
      <c r="F47" s="12"/>
      <c r="G47" s="12"/>
      <c r="H47" s="12"/>
      <c r="I47" s="12"/>
      <c r="J47" s="13"/>
      <c r="K47" s="13"/>
      <c r="L47" s="13"/>
      <c r="M47" s="13"/>
      <c r="N47" s="12"/>
      <c r="O47" s="13"/>
      <c r="P47" s="13"/>
      <c r="Q47" s="13"/>
      <c r="R47" s="13"/>
      <c r="S47" s="12"/>
      <c r="T47" s="13"/>
      <c r="U47" s="10"/>
      <c r="V47" s="10"/>
      <c r="W47" s="13"/>
      <c r="X47" s="12"/>
      <c r="Y47" s="12"/>
      <c r="Z47" s="12"/>
      <c r="AA47" s="10"/>
      <c r="AB47" s="13"/>
      <c r="AC47" s="10"/>
    </row>
    <row r="48" spans="2:29">
      <c r="B48" s="6" t="s">
        <v>148</v>
      </c>
      <c r="C48" s="6"/>
      <c r="J48" s="6"/>
      <c r="K48" s="6"/>
      <c r="L48" s="6"/>
      <c r="M48" s="6"/>
      <c r="O48" s="6"/>
      <c r="P48" s="6"/>
      <c r="Q48" s="6"/>
      <c r="R48" s="6"/>
      <c r="T48" s="6"/>
      <c r="U48" s="285"/>
      <c r="V48" s="285"/>
      <c r="W48" s="6"/>
      <c r="AA48" s="285"/>
      <c r="AB48" s="6"/>
      <c r="AC48" s="285"/>
    </row>
    <row r="49" spans="2:31">
      <c r="B49" s="46"/>
      <c r="C49" s="256" t="s">
        <v>117</v>
      </c>
      <c r="D49" s="15" t="s">
        <v>75</v>
      </c>
      <c r="E49" s="15" t="s">
        <v>76</v>
      </c>
      <c r="F49" s="15" t="s">
        <v>77</v>
      </c>
      <c r="G49" s="15" t="s">
        <v>78</v>
      </c>
      <c r="H49" s="256" t="s">
        <v>44</v>
      </c>
      <c r="I49" s="15" t="s">
        <v>79</v>
      </c>
      <c r="J49" s="15" t="s">
        <v>80</v>
      </c>
      <c r="K49" s="15" t="s">
        <v>81</v>
      </c>
      <c r="L49" s="15" t="s">
        <v>82</v>
      </c>
      <c r="M49" s="256" t="s">
        <v>83</v>
      </c>
      <c r="N49" s="15" t="s">
        <v>151</v>
      </c>
      <c r="O49" s="15" t="s">
        <v>150</v>
      </c>
      <c r="P49" s="15" t="s">
        <v>189</v>
      </c>
      <c r="Q49" s="15" t="str">
        <f>Q8</f>
        <v>Q4 20</v>
      </c>
      <c r="R49" s="256" t="str">
        <f>R8</f>
        <v>FY 20</v>
      </c>
      <c r="S49" s="15" t="s">
        <v>193</v>
      </c>
      <c r="T49" s="15" t="s">
        <v>194</v>
      </c>
      <c r="U49" s="15" t="s">
        <v>199</v>
      </c>
      <c r="V49" s="15" t="s">
        <v>204</v>
      </c>
      <c r="W49" s="256" t="str">
        <f>W8</f>
        <v>FY 21</v>
      </c>
      <c r="X49" s="15" t="str">
        <f>X8</f>
        <v>Q1 22</v>
      </c>
      <c r="Y49" s="15" t="str">
        <f>Y8</f>
        <v>Q2 22</v>
      </c>
      <c r="Z49" s="15" t="str">
        <f>Z8</f>
        <v>Q3 22</v>
      </c>
      <c r="AA49" s="15" t="s">
        <v>219</v>
      </c>
      <c r="AB49" s="256" t="str">
        <f>AB8</f>
        <v>FY 22</v>
      </c>
      <c r="AC49" s="15" t="s">
        <v>221</v>
      </c>
    </row>
    <row r="50" spans="2:31">
      <c r="B50" s="16" t="s">
        <v>122</v>
      </c>
      <c r="C50" s="258">
        <v>174760</v>
      </c>
      <c r="D50" s="19">
        <v>46757</v>
      </c>
      <c r="E50" s="19">
        <v>54013</v>
      </c>
      <c r="F50" s="19">
        <v>59121</v>
      </c>
      <c r="G50" s="19">
        <v>60210</v>
      </c>
      <c r="H50" s="258">
        <v>220101</v>
      </c>
      <c r="I50" s="19">
        <v>62471</v>
      </c>
      <c r="J50" s="19">
        <v>64812</v>
      </c>
      <c r="K50" s="19">
        <v>80021</v>
      </c>
      <c r="L50" s="19">
        <v>78316</v>
      </c>
      <c r="M50" s="258">
        <v>285620</v>
      </c>
      <c r="N50" s="17">
        <v>82511</v>
      </c>
      <c r="O50" s="17">
        <v>90143</v>
      </c>
      <c r="P50" s="17">
        <v>102217</v>
      </c>
      <c r="Q50" s="17">
        <v>105701</v>
      </c>
      <c r="R50" s="275">
        <f>N50+O50+P50+Q50</f>
        <v>380572</v>
      </c>
      <c r="S50" s="17">
        <v>99437</v>
      </c>
      <c r="T50" s="17">
        <v>104661</v>
      </c>
      <c r="U50" s="17">
        <v>119753</v>
      </c>
      <c r="V50" s="17">
        <v>119175</v>
      </c>
      <c r="W50" s="275">
        <f>S50+T50+U50+V50</f>
        <v>443026</v>
      </c>
      <c r="X50" s="17">
        <f>X9</f>
        <v>119038</v>
      </c>
      <c r="Y50" s="17">
        <f>Y9</f>
        <v>127290</v>
      </c>
      <c r="Z50" s="17">
        <f>Z9</f>
        <v>140604</v>
      </c>
      <c r="AA50" s="17">
        <f>AA9</f>
        <v>141725</v>
      </c>
      <c r="AB50" s="275">
        <f>X50+Y50+Z50+AA50</f>
        <v>528657</v>
      </c>
      <c r="AC50" s="17">
        <f>AC9</f>
        <v>142243</v>
      </c>
    </row>
    <row r="51" spans="2:31">
      <c r="B51" s="18"/>
      <c r="C51" s="258"/>
      <c r="D51" s="19"/>
      <c r="E51" s="19"/>
      <c r="F51" s="19"/>
      <c r="G51" s="19"/>
      <c r="H51" s="258"/>
      <c r="I51" s="19"/>
      <c r="J51" s="19"/>
      <c r="K51" s="19"/>
      <c r="L51" s="19"/>
      <c r="M51" s="258"/>
      <c r="N51" s="19"/>
      <c r="O51" s="19"/>
      <c r="P51" s="19"/>
      <c r="Q51" s="19"/>
      <c r="R51" s="258"/>
      <c r="S51" s="19"/>
      <c r="T51" s="19"/>
      <c r="U51" s="19"/>
      <c r="V51" s="19"/>
      <c r="W51" s="258"/>
      <c r="X51" s="19"/>
      <c r="Y51" s="19"/>
      <c r="Z51" s="19"/>
      <c r="AA51" s="19"/>
      <c r="AB51" s="258"/>
      <c r="AC51" s="19"/>
    </row>
    <row r="52" spans="2:31">
      <c r="B52" s="20" t="s">
        <v>123</v>
      </c>
      <c r="C52" s="259">
        <v>77040</v>
      </c>
      <c r="D52" s="21">
        <v>17464.475640000008</v>
      </c>
      <c r="E52" s="21">
        <v>17340.575140000001</v>
      </c>
      <c r="F52" s="21">
        <v>17887.981889999999</v>
      </c>
      <c r="G52" s="21">
        <v>17156.751469999999</v>
      </c>
      <c r="H52" s="259">
        <v>69849.784140000018</v>
      </c>
      <c r="I52" s="21">
        <v>16972.494630000001</v>
      </c>
      <c r="J52" s="21">
        <v>20136.197210000002</v>
      </c>
      <c r="K52" s="21">
        <v>28900.194779999994</v>
      </c>
      <c r="L52" s="21">
        <v>31171.362280000001</v>
      </c>
      <c r="M52" s="259">
        <v>97180.248899999977</v>
      </c>
      <c r="N52" s="21">
        <v>31061</v>
      </c>
      <c r="O52" s="21">
        <v>33786</v>
      </c>
      <c r="P52" s="21">
        <v>31569</v>
      </c>
      <c r="Q52" s="21">
        <v>30745</v>
      </c>
      <c r="R52" s="259">
        <f>N52+O52+P52+Q52</f>
        <v>127161</v>
      </c>
      <c r="S52" s="21">
        <v>28384</v>
      </c>
      <c r="T52" s="21">
        <v>29634</v>
      </c>
      <c r="U52" s="21">
        <v>31884</v>
      </c>
      <c r="V52" s="21">
        <v>30756</v>
      </c>
      <c r="W52" s="259">
        <f>S52+T52+U52+V52</f>
        <v>120658</v>
      </c>
      <c r="X52" s="21">
        <v>28880</v>
      </c>
      <c r="Y52" s="21">
        <v>29519</v>
      </c>
      <c r="Z52" s="21">
        <v>32742</v>
      </c>
      <c r="AA52" s="21">
        <v>33464</v>
      </c>
      <c r="AB52" s="259">
        <f>X52+Y52+Z52+AA52</f>
        <v>124605</v>
      </c>
      <c r="AC52" s="21">
        <v>35215</v>
      </c>
    </row>
    <row r="53" spans="2:31">
      <c r="B53" s="16" t="s">
        <v>124</v>
      </c>
      <c r="C53" s="260">
        <f t="shared" ref="C53:M53" si="36">C50-C52</f>
        <v>97720</v>
      </c>
      <c r="D53" s="22">
        <f t="shared" si="36"/>
        <v>29292.524359999992</v>
      </c>
      <c r="E53" s="22">
        <f t="shared" si="36"/>
        <v>36672.424859999999</v>
      </c>
      <c r="F53" s="22">
        <f t="shared" si="36"/>
        <v>41233.018110000005</v>
      </c>
      <c r="G53" s="22">
        <f t="shared" si="36"/>
        <v>43053.248529999997</v>
      </c>
      <c r="H53" s="260">
        <f t="shared" si="36"/>
        <v>150251.21586</v>
      </c>
      <c r="I53" s="22">
        <f t="shared" si="36"/>
        <v>45498.505369999999</v>
      </c>
      <c r="J53" s="22">
        <f t="shared" si="36"/>
        <v>44675.802790000002</v>
      </c>
      <c r="K53" s="22">
        <f t="shared" si="36"/>
        <v>51120.805220000009</v>
      </c>
      <c r="L53" s="22">
        <f t="shared" si="36"/>
        <v>47144.637719999999</v>
      </c>
      <c r="M53" s="260">
        <f t="shared" si="36"/>
        <v>188439.75110000002</v>
      </c>
      <c r="N53" s="22">
        <f t="shared" ref="N53:T53" si="37">N50-N52</f>
        <v>51450</v>
      </c>
      <c r="O53" s="22">
        <f t="shared" si="37"/>
        <v>56357</v>
      </c>
      <c r="P53" s="22">
        <f t="shared" si="37"/>
        <v>70648</v>
      </c>
      <c r="Q53" s="22">
        <f t="shared" si="37"/>
        <v>74956</v>
      </c>
      <c r="R53" s="260">
        <f t="shared" si="37"/>
        <v>253411</v>
      </c>
      <c r="S53" s="22">
        <f t="shared" si="37"/>
        <v>71053</v>
      </c>
      <c r="T53" s="22">
        <f t="shared" si="37"/>
        <v>75027</v>
      </c>
      <c r="U53" s="22">
        <f t="shared" ref="U53:X53" si="38">U50-U52</f>
        <v>87869</v>
      </c>
      <c r="V53" s="22">
        <f t="shared" si="38"/>
        <v>88419</v>
      </c>
      <c r="W53" s="260">
        <f t="shared" si="38"/>
        <v>322368</v>
      </c>
      <c r="X53" s="22">
        <f t="shared" si="38"/>
        <v>90158</v>
      </c>
      <c r="Y53" s="22">
        <f t="shared" ref="Y53:AB53" si="39">Y50-Y52</f>
        <v>97771</v>
      </c>
      <c r="Z53" s="22">
        <f t="shared" si="39"/>
        <v>107862</v>
      </c>
      <c r="AA53" s="22">
        <f t="shared" si="39"/>
        <v>108261</v>
      </c>
      <c r="AB53" s="260">
        <f t="shared" si="39"/>
        <v>404052</v>
      </c>
      <c r="AC53" s="22">
        <f t="shared" ref="AC53" si="40">AC50-AC52</f>
        <v>107028</v>
      </c>
    </row>
    <row r="54" spans="2:31">
      <c r="B54" s="23" t="s">
        <v>125</v>
      </c>
      <c r="C54" s="261">
        <f t="shared" ref="C54:M54" si="41">C53/C50</f>
        <v>0.55916685740444039</v>
      </c>
      <c r="D54" s="24">
        <f t="shared" si="41"/>
        <v>0.62648425604722269</v>
      </c>
      <c r="E54" s="24">
        <f t="shared" si="41"/>
        <v>0.67895552663247738</v>
      </c>
      <c r="F54" s="24">
        <f t="shared" si="41"/>
        <v>0.69743438219921861</v>
      </c>
      <c r="G54" s="24">
        <f t="shared" si="41"/>
        <v>0.71505146204949344</v>
      </c>
      <c r="H54" s="261">
        <f t="shared" si="41"/>
        <v>0.68264667520819988</v>
      </c>
      <c r="I54" s="24">
        <f t="shared" si="41"/>
        <v>0.72831402362696285</v>
      </c>
      <c r="J54" s="24">
        <f t="shared" si="41"/>
        <v>0.68931375038573106</v>
      </c>
      <c r="K54" s="24">
        <f t="shared" si="41"/>
        <v>0.63884236912810399</v>
      </c>
      <c r="L54" s="24">
        <f t="shared" si="41"/>
        <v>0.60197964298483064</v>
      </c>
      <c r="M54" s="261">
        <f t="shared" si="41"/>
        <v>0.65975684861004136</v>
      </c>
      <c r="N54" s="24">
        <f t="shared" ref="N54:T54" si="42">N53/N50</f>
        <v>0.62355322320660278</v>
      </c>
      <c r="O54" s="24">
        <f t="shared" si="42"/>
        <v>0.62519552266953615</v>
      </c>
      <c r="P54" s="24">
        <f t="shared" si="42"/>
        <v>0.69115704824050794</v>
      </c>
      <c r="Q54" s="24">
        <f t="shared" si="42"/>
        <v>0.7091323639322239</v>
      </c>
      <c r="R54" s="261">
        <f>R53/R50</f>
        <v>0.66586874494182446</v>
      </c>
      <c r="S54" s="24">
        <f t="shared" si="42"/>
        <v>0.71455293301286238</v>
      </c>
      <c r="T54" s="24">
        <f t="shared" si="42"/>
        <v>0.71685728208215094</v>
      </c>
      <c r="U54" s="24">
        <f t="shared" ref="U54:V54" si="43">U53/U50</f>
        <v>0.73375197281070204</v>
      </c>
      <c r="V54" s="24">
        <f t="shared" si="43"/>
        <v>0.74192573945877915</v>
      </c>
      <c r="W54" s="261">
        <f>W53/W50</f>
        <v>0.72765029591942687</v>
      </c>
      <c r="X54" s="24">
        <f t="shared" ref="X54:Y54" si="44">X53/X50</f>
        <v>0.75738839698247618</v>
      </c>
      <c r="Y54" s="24">
        <f t="shared" si="44"/>
        <v>0.76809647262157277</v>
      </c>
      <c r="Z54" s="24">
        <f t="shared" ref="Z54:AA54" si="45">Z53/Z50</f>
        <v>0.76713322522830074</v>
      </c>
      <c r="AA54" s="24">
        <f t="shared" si="45"/>
        <v>0.76388075498324215</v>
      </c>
      <c r="AB54" s="261">
        <f>AB53/AB50</f>
        <v>0.76429896889665705</v>
      </c>
      <c r="AC54" s="24">
        <f t="shared" ref="AC54" si="46">AC53/AC50</f>
        <v>0.75243069957748365</v>
      </c>
      <c r="AD54" s="299"/>
    </row>
    <row r="55" spans="2:31">
      <c r="B55" s="23"/>
      <c r="C55" s="260"/>
      <c r="D55" s="25"/>
      <c r="E55" s="25"/>
      <c r="F55" s="25"/>
      <c r="G55" s="25"/>
      <c r="H55" s="260"/>
      <c r="I55" s="25"/>
      <c r="J55" s="25"/>
      <c r="K55" s="25"/>
      <c r="L55" s="25"/>
      <c r="M55" s="260"/>
      <c r="N55" s="25"/>
      <c r="O55" s="25"/>
      <c r="P55" s="25"/>
      <c r="Q55" s="25"/>
      <c r="R55" s="260"/>
      <c r="S55" s="25"/>
      <c r="T55" s="25"/>
      <c r="U55" s="25"/>
      <c r="V55" s="25"/>
      <c r="W55" s="260"/>
      <c r="X55" s="25"/>
      <c r="Y55" s="25"/>
      <c r="Z55" s="25"/>
      <c r="AA55" s="25"/>
      <c r="AB55" s="260"/>
      <c r="AC55" s="25"/>
    </row>
    <row r="56" spans="2:31">
      <c r="B56" s="16" t="s">
        <v>126</v>
      </c>
      <c r="C56" s="260"/>
      <c r="D56" s="25"/>
      <c r="E56" s="25"/>
      <c r="F56" s="25"/>
      <c r="G56" s="25"/>
      <c r="H56" s="260"/>
      <c r="I56" s="25"/>
      <c r="J56" s="25"/>
      <c r="K56" s="25"/>
      <c r="L56" s="25"/>
      <c r="M56" s="260"/>
      <c r="N56" s="25"/>
      <c r="O56" s="25"/>
      <c r="P56" s="25"/>
      <c r="Q56" s="25"/>
      <c r="R56" s="260"/>
      <c r="S56" s="25"/>
      <c r="T56" s="25"/>
      <c r="U56" s="25"/>
      <c r="V56" s="25"/>
      <c r="W56" s="260"/>
      <c r="X56" s="25"/>
      <c r="Y56" s="25"/>
      <c r="Z56" s="25"/>
      <c r="AA56" s="25"/>
      <c r="AB56" s="260"/>
      <c r="AC56" s="25"/>
    </row>
    <row r="57" spans="2:31">
      <c r="B57" s="16" t="s">
        <v>127</v>
      </c>
      <c r="C57" s="260">
        <v>38854</v>
      </c>
      <c r="D57" s="25">
        <v>11147.272679999998</v>
      </c>
      <c r="E57" s="25">
        <v>11963.306939999997</v>
      </c>
      <c r="F57" s="25">
        <v>11134.390079999999</v>
      </c>
      <c r="G57" s="19">
        <v>10825.366950000003</v>
      </c>
      <c r="H57" s="258">
        <v>45070.336649999997</v>
      </c>
      <c r="I57" s="25">
        <v>12628.242430000002</v>
      </c>
      <c r="J57" s="25">
        <v>13194.923490000003</v>
      </c>
      <c r="K57" s="25">
        <v>14524.533150000001</v>
      </c>
      <c r="L57" s="25">
        <v>17124.51493999999</v>
      </c>
      <c r="M57" s="258">
        <v>57472.214009999989</v>
      </c>
      <c r="N57" s="25">
        <v>19271</v>
      </c>
      <c r="O57" s="25">
        <v>20099</v>
      </c>
      <c r="P57" s="25">
        <v>20941</v>
      </c>
      <c r="Q57" s="25">
        <v>22410</v>
      </c>
      <c r="R57" s="260">
        <f>N57+O57+P57+Q57</f>
        <v>82721</v>
      </c>
      <c r="S57" s="25">
        <v>21103</v>
      </c>
      <c r="T57" s="25">
        <v>23322</v>
      </c>
      <c r="U57" s="25">
        <v>23232</v>
      </c>
      <c r="V57" s="25">
        <v>28494</v>
      </c>
      <c r="W57" s="260">
        <f>S57+T57+U57+V57</f>
        <v>96151</v>
      </c>
      <c r="X57" s="25">
        <v>29428</v>
      </c>
      <c r="Y57" s="25">
        <v>28604</v>
      </c>
      <c r="Z57" s="25">
        <v>32606</v>
      </c>
      <c r="AA57" s="25">
        <v>35185</v>
      </c>
      <c r="AB57" s="260">
        <f>X57+Y57+Z57+AA57</f>
        <v>125823</v>
      </c>
      <c r="AC57" s="25">
        <v>36005</v>
      </c>
    </row>
    <row r="58" spans="2:31">
      <c r="B58" s="16" t="s">
        <v>128</v>
      </c>
      <c r="C58" s="260">
        <v>51765</v>
      </c>
      <c r="D58" s="25">
        <v>18636.69076999999</v>
      </c>
      <c r="E58" s="25">
        <v>20251.063999999998</v>
      </c>
      <c r="F58" s="25">
        <v>21581.276410000002</v>
      </c>
      <c r="G58" s="19">
        <v>24789.601999999999</v>
      </c>
      <c r="H58" s="258">
        <v>85258.63317999999</v>
      </c>
      <c r="I58" s="25">
        <v>23401.850079999989</v>
      </c>
      <c r="J58" s="25">
        <v>26085.936799999992</v>
      </c>
      <c r="K58" s="25">
        <v>30593.722259999984</v>
      </c>
      <c r="L58" s="25">
        <v>34486.843959999998</v>
      </c>
      <c r="M58" s="258">
        <v>114568.35309999996</v>
      </c>
      <c r="N58" s="25">
        <v>34224</v>
      </c>
      <c r="O58" s="25">
        <v>35446</v>
      </c>
      <c r="P58" s="25">
        <v>36323</v>
      </c>
      <c r="Q58" s="25">
        <v>44886</v>
      </c>
      <c r="R58" s="260">
        <f>N58+O58+P58+Q58</f>
        <v>150879</v>
      </c>
      <c r="S58" s="25">
        <v>31504</v>
      </c>
      <c r="T58" s="25">
        <v>32472</v>
      </c>
      <c r="U58" s="25">
        <v>34692</v>
      </c>
      <c r="V58" s="25">
        <v>38474</v>
      </c>
      <c r="W58" s="260">
        <f>S58+T58+U58+V58</f>
        <v>137142</v>
      </c>
      <c r="X58" s="25">
        <v>35186</v>
      </c>
      <c r="Y58" s="25">
        <v>32760</v>
      </c>
      <c r="Z58" s="25">
        <v>38995</v>
      </c>
      <c r="AA58" s="25">
        <v>47236</v>
      </c>
      <c r="AB58" s="260">
        <f>X58+Y58+Z58+AA58</f>
        <v>154177</v>
      </c>
      <c r="AC58" s="25">
        <v>45396</v>
      </c>
    </row>
    <row r="59" spans="2:31">
      <c r="B59" s="16" t="s">
        <v>129</v>
      </c>
      <c r="C59" s="260">
        <v>66788.666339999967</v>
      </c>
      <c r="D59" s="25">
        <v>13852.466339999999</v>
      </c>
      <c r="E59" s="25">
        <v>15136.051769999998</v>
      </c>
      <c r="F59" s="25">
        <v>12525.441140000008</v>
      </c>
      <c r="G59" s="19">
        <v>14662.241589999998</v>
      </c>
      <c r="H59" s="258">
        <v>56176.200840000005</v>
      </c>
      <c r="I59" s="25">
        <v>15301.708509999997</v>
      </c>
      <c r="J59" s="25">
        <v>19767.372919999994</v>
      </c>
      <c r="K59" s="25">
        <v>17070.869149999999</v>
      </c>
      <c r="L59" s="25">
        <v>17962.69341</v>
      </c>
      <c r="M59" s="258">
        <v>70102.643989999997</v>
      </c>
      <c r="N59" s="25">
        <v>20395</v>
      </c>
      <c r="O59" s="25">
        <v>20654</v>
      </c>
      <c r="P59" s="25">
        <v>18972</v>
      </c>
      <c r="Q59" s="25">
        <v>23653</v>
      </c>
      <c r="R59" s="260">
        <f>N59+O59+P59+Q59</f>
        <v>83674</v>
      </c>
      <c r="S59" s="25">
        <v>17062</v>
      </c>
      <c r="T59" s="25">
        <v>17892</v>
      </c>
      <c r="U59" s="25">
        <v>17625</v>
      </c>
      <c r="V59" s="25">
        <v>20713</v>
      </c>
      <c r="W59" s="260">
        <f>S59+T59+U59+V59</f>
        <v>73292</v>
      </c>
      <c r="X59" s="25">
        <v>18726</v>
      </c>
      <c r="Y59" s="25">
        <v>18738</v>
      </c>
      <c r="Z59" s="25">
        <v>21642</v>
      </c>
      <c r="AA59" s="25">
        <v>23037</v>
      </c>
      <c r="AB59" s="260">
        <f>X59+Y59+Z59+AA59</f>
        <v>82143</v>
      </c>
      <c r="AC59" s="25">
        <v>21622</v>
      </c>
    </row>
    <row r="60" spans="2:31">
      <c r="B60" s="20" t="s">
        <v>130</v>
      </c>
      <c r="C60" s="276" t="s">
        <v>145</v>
      </c>
      <c r="D60" s="47" t="s">
        <v>145</v>
      </c>
      <c r="E60" s="47" t="s">
        <v>145</v>
      </c>
      <c r="F60" s="47" t="s">
        <v>145</v>
      </c>
      <c r="G60" s="47" t="s">
        <v>145</v>
      </c>
      <c r="H60" s="276" t="s">
        <v>145</v>
      </c>
      <c r="I60" s="47" t="s">
        <v>145</v>
      </c>
      <c r="J60" s="47" t="s">
        <v>145</v>
      </c>
      <c r="K60" s="47" t="s">
        <v>145</v>
      </c>
      <c r="L60" s="47" t="s">
        <v>145</v>
      </c>
      <c r="M60" s="276" t="s">
        <v>145</v>
      </c>
      <c r="N60" s="40">
        <v>0</v>
      </c>
      <c r="O60" s="40">
        <v>0</v>
      </c>
      <c r="P60" s="40">
        <v>0</v>
      </c>
      <c r="Q60" s="40">
        <v>0</v>
      </c>
      <c r="R60" s="262">
        <f>N60+O60+P60+Q60</f>
        <v>0</v>
      </c>
      <c r="S60" s="40">
        <v>0</v>
      </c>
      <c r="T60" s="40">
        <v>0</v>
      </c>
      <c r="U60" s="40">
        <v>0</v>
      </c>
      <c r="V60" s="40">
        <v>0</v>
      </c>
      <c r="W60" s="289">
        <f>S60+T60+U60+V60</f>
        <v>0</v>
      </c>
      <c r="X60" s="40">
        <v>0</v>
      </c>
      <c r="Y60" s="40">
        <v>0</v>
      </c>
      <c r="Z60" s="40">
        <v>0</v>
      </c>
      <c r="AA60" s="40">
        <v>0</v>
      </c>
      <c r="AB60" s="289">
        <f>X60+Y60+Z60+AA60</f>
        <v>0</v>
      </c>
      <c r="AC60" s="40">
        <v>0</v>
      </c>
    </row>
    <row r="61" spans="2:31">
      <c r="B61" s="16" t="s">
        <v>131</v>
      </c>
      <c r="C61" s="260">
        <f t="shared" ref="C61:M61" si="47">SUM(C57:C60)</f>
        <v>157407.66633999997</v>
      </c>
      <c r="D61" s="25">
        <f t="shared" si="47"/>
        <v>43636.429789999987</v>
      </c>
      <c r="E61" s="25">
        <f t="shared" si="47"/>
        <v>47350.422709999992</v>
      </c>
      <c r="F61" s="25">
        <f t="shared" si="47"/>
        <v>45241.107630000013</v>
      </c>
      <c r="G61" s="25">
        <f t="shared" si="47"/>
        <v>50277.21054</v>
      </c>
      <c r="H61" s="260">
        <f t="shared" si="47"/>
        <v>186505.17066999999</v>
      </c>
      <c r="I61" s="25">
        <f t="shared" si="47"/>
        <v>51331.801019999984</v>
      </c>
      <c r="J61" s="25">
        <f t="shared" si="47"/>
        <v>59048.233209999991</v>
      </c>
      <c r="K61" s="25">
        <f t="shared" si="47"/>
        <v>62189.124559999982</v>
      </c>
      <c r="L61" s="25">
        <f t="shared" si="47"/>
        <v>69574.052309999999</v>
      </c>
      <c r="M61" s="260">
        <f t="shared" si="47"/>
        <v>242143.21109999996</v>
      </c>
      <c r="N61" s="25">
        <f t="shared" ref="N61:S61" si="48">SUM(N57:N60)</f>
        <v>73890</v>
      </c>
      <c r="O61" s="25">
        <f t="shared" si="48"/>
        <v>76199</v>
      </c>
      <c r="P61" s="25">
        <f t="shared" si="48"/>
        <v>76236</v>
      </c>
      <c r="Q61" s="25">
        <f t="shared" si="48"/>
        <v>90949</v>
      </c>
      <c r="R61" s="260">
        <f>SUM(R57:R60)</f>
        <v>317274</v>
      </c>
      <c r="S61" s="25">
        <f t="shared" si="48"/>
        <v>69669</v>
      </c>
      <c r="T61" s="25">
        <f>SUM(T57:T60)</f>
        <v>73686</v>
      </c>
      <c r="U61" s="25">
        <f>SUM(U57:U60)</f>
        <v>75549</v>
      </c>
      <c r="V61" s="25">
        <f>SUM(V57:V60)</f>
        <v>87681</v>
      </c>
      <c r="W61" s="260">
        <f>SUM(W57:W60)</f>
        <v>306585</v>
      </c>
      <c r="X61" s="25">
        <f t="shared" ref="X61:Y61" si="49">SUM(X57:X60)</f>
        <v>83340</v>
      </c>
      <c r="Y61" s="25">
        <f t="shared" si="49"/>
        <v>80102</v>
      </c>
      <c r="Z61" s="25">
        <f t="shared" ref="Z61" si="50">SUM(Z57:Z60)</f>
        <v>93243</v>
      </c>
      <c r="AA61" s="25">
        <f>SUM(AA57:AA60)</f>
        <v>105458</v>
      </c>
      <c r="AB61" s="260">
        <f>SUM(AB57:AB60)</f>
        <v>362143</v>
      </c>
      <c r="AC61" s="25">
        <f>SUM(AC57:AC60)</f>
        <v>103023</v>
      </c>
      <c r="AE61" s="301"/>
    </row>
    <row r="62" spans="2:31">
      <c r="B62" s="28"/>
      <c r="C62" s="263"/>
      <c r="D62" s="29"/>
      <c r="E62" s="29"/>
      <c r="F62" s="29"/>
      <c r="G62" s="29"/>
      <c r="H62" s="273"/>
      <c r="I62" s="29"/>
      <c r="J62" s="29"/>
      <c r="K62" s="29"/>
      <c r="L62" s="29"/>
      <c r="M62" s="263"/>
      <c r="N62" s="29"/>
      <c r="O62" s="29"/>
      <c r="P62" s="29"/>
      <c r="Q62" s="29"/>
      <c r="R62" s="263"/>
      <c r="S62" s="29"/>
      <c r="T62" s="29"/>
      <c r="U62" s="29"/>
      <c r="V62" s="29"/>
      <c r="W62" s="263"/>
      <c r="X62" s="29"/>
      <c r="Y62" s="29"/>
      <c r="Z62" s="29"/>
      <c r="AA62" s="29"/>
      <c r="AB62" s="263"/>
      <c r="AC62" s="29"/>
    </row>
    <row r="63" spans="2:31">
      <c r="B63" s="28" t="s">
        <v>195</v>
      </c>
      <c r="C63" s="264">
        <f t="shared" ref="C63:M63" si="51">C53-C61</f>
        <v>-59687.666339999967</v>
      </c>
      <c r="D63" s="30">
        <f t="shared" si="51"/>
        <v>-14343.905429999995</v>
      </c>
      <c r="E63" s="30">
        <f t="shared" si="51"/>
        <v>-10677.997849999992</v>
      </c>
      <c r="F63" s="30">
        <f t="shared" si="51"/>
        <v>-4008.0895200000086</v>
      </c>
      <c r="G63" s="30">
        <f t="shared" si="51"/>
        <v>-7223.9620100000029</v>
      </c>
      <c r="H63" s="264">
        <f t="shared" si="51"/>
        <v>-36253.954809999996</v>
      </c>
      <c r="I63" s="30">
        <f t="shared" si="51"/>
        <v>-5833.2956499999855</v>
      </c>
      <c r="J63" s="30">
        <f t="shared" si="51"/>
        <v>-14372.43041999999</v>
      </c>
      <c r="K63" s="30">
        <f t="shared" si="51"/>
        <v>-11068.319339999973</v>
      </c>
      <c r="L63" s="30">
        <f t="shared" si="51"/>
        <v>-22429.41459</v>
      </c>
      <c r="M63" s="264">
        <f t="shared" si="51"/>
        <v>-53703.459999999934</v>
      </c>
      <c r="N63" s="30">
        <f t="shared" ref="N63:T63" si="52">N53-N61</f>
        <v>-22440</v>
      </c>
      <c r="O63" s="30">
        <f t="shared" si="52"/>
        <v>-19842</v>
      </c>
      <c r="P63" s="30">
        <f t="shared" si="52"/>
        <v>-5588</v>
      </c>
      <c r="Q63" s="30">
        <f t="shared" si="52"/>
        <v>-15993</v>
      </c>
      <c r="R63" s="264">
        <f>R53-R61</f>
        <v>-63863</v>
      </c>
      <c r="S63" s="30">
        <f t="shared" si="52"/>
        <v>1384</v>
      </c>
      <c r="T63" s="30">
        <f t="shared" si="52"/>
        <v>1341</v>
      </c>
      <c r="U63" s="30">
        <f t="shared" ref="U63:V63" si="53">U53-U61</f>
        <v>12320</v>
      </c>
      <c r="V63" s="30">
        <f t="shared" si="53"/>
        <v>738</v>
      </c>
      <c r="W63" s="264">
        <f>W53-W61</f>
        <v>15783</v>
      </c>
      <c r="X63" s="30">
        <f t="shared" ref="X63:Y63" si="54">X53-X61</f>
        <v>6818</v>
      </c>
      <c r="Y63" s="30">
        <f t="shared" si="54"/>
        <v>17669</v>
      </c>
      <c r="Z63" s="30">
        <f t="shared" ref="Z63:AA63" si="55">Z53-Z61</f>
        <v>14619</v>
      </c>
      <c r="AA63" s="30">
        <f t="shared" si="55"/>
        <v>2803</v>
      </c>
      <c r="AB63" s="264">
        <f>AB53-AB61</f>
        <v>41909</v>
      </c>
      <c r="AC63" s="30">
        <f t="shared" ref="AC63" si="56">AC53-AC61</f>
        <v>4005</v>
      </c>
    </row>
    <row r="64" spans="2:31">
      <c r="B64" s="31" t="s">
        <v>133</v>
      </c>
      <c r="C64" s="265">
        <f t="shared" ref="C64:M64" si="57">C63/C50</f>
        <v>-0.34154077786678855</v>
      </c>
      <c r="D64" s="32">
        <f t="shared" si="57"/>
        <v>-0.3067755722137861</v>
      </c>
      <c r="E64" s="32">
        <f t="shared" si="57"/>
        <v>-0.19769310814063268</v>
      </c>
      <c r="F64" s="32">
        <f t="shared" si="57"/>
        <v>-6.7794684122393201E-2</v>
      </c>
      <c r="G64" s="32">
        <f t="shared" si="57"/>
        <v>-0.11997943879754198</v>
      </c>
      <c r="H64" s="265">
        <f t="shared" si="57"/>
        <v>-0.16471508448394145</v>
      </c>
      <c r="I64" s="32">
        <f t="shared" si="57"/>
        <v>-9.3376056890396908E-2</v>
      </c>
      <c r="J64" s="32">
        <f t="shared" si="57"/>
        <v>-0.2217556998703942</v>
      </c>
      <c r="K64" s="32">
        <f t="shared" si="57"/>
        <v>-0.13831768335811814</v>
      </c>
      <c r="L64" s="32">
        <f t="shared" si="57"/>
        <v>-0.2863963250165994</v>
      </c>
      <c r="M64" s="265">
        <f t="shared" si="57"/>
        <v>-0.18802415797213057</v>
      </c>
      <c r="N64" s="32">
        <f t="shared" ref="N64:T64" si="58">N63/N50</f>
        <v>-0.27196373816824421</v>
      </c>
      <c r="O64" s="32">
        <f t="shared" si="58"/>
        <v>-0.22011692532975383</v>
      </c>
      <c r="P64" s="32">
        <f t="shared" si="58"/>
        <v>-5.4668010213565259E-2</v>
      </c>
      <c r="Q64" s="32">
        <f t="shared" si="58"/>
        <v>-0.1513041503864675</v>
      </c>
      <c r="R64" s="265">
        <f t="shared" si="58"/>
        <v>-0.1678079312193225</v>
      </c>
      <c r="S64" s="32">
        <f t="shared" si="58"/>
        <v>1.3918360368876776E-2</v>
      </c>
      <c r="T64" s="32">
        <f t="shared" si="58"/>
        <v>1.2812795597213862E-2</v>
      </c>
      <c r="U64" s="32">
        <f t="shared" ref="U64:X64" si="59">U63/U50</f>
        <v>0.10287842475762611</v>
      </c>
      <c r="V64" s="32">
        <f t="shared" si="59"/>
        <v>6.1925739458779105E-3</v>
      </c>
      <c r="W64" s="265">
        <f t="shared" si="59"/>
        <v>3.5625448619268398E-2</v>
      </c>
      <c r="X64" s="32">
        <f t="shared" si="59"/>
        <v>5.7275827886893262E-2</v>
      </c>
      <c r="Y64" s="32">
        <f t="shared" ref="Y64:AB64" si="60">Y63/Y50</f>
        <v>0.13880901877602325</v>
      </c>
      <c r="Z64" s="32">
        <f t="shared" si="60"/>
        <v>0.10397285994708542</v>
      </c>
      <c r="AA64" s="32">
        <f t="shared" si="60"/>
        <v>1.9777738578232493E-2</v>
      </c>
      <c r="AB64" s="265">
        <f t="shared" si="60"/>
        <v>7.9274463404438042E-2</v>
      </c>
      <c r="AC64" s="32">
        <f t="shared" ref="AC64" si="61">AC63/AC50</f>
        <v>2.815604282811808E-2</v>
      </c>
    </row>
    <row r="65" spans="2:29">
      <c r="B65" s="28"/>
      <c r="C65" s="266"/>
      <c r="D65" s="30"/>
      <c r="E65" s="33"/>
      <c r="F65" s="33"/>
      <c r="G65" s="34"/>
      <c r="H65" s="274"/>
      <c r="I65" s="33"/>
      <c r="J65" s="33"/>
      <c r="K65" s="33"/>
      <c r="L65" s="33"/>
      <c r="M65" s="266"/>
      <c r="N65" s="33"/>
      <c r="O65" s="33"/>
      <c r="P65" s="33"/>
      <c r="Q65" s="33"/>
      <c r="R65" s="266"/>
      <c r="S65" s="33"/>
      <c r="T65" s="33"/>
      <c r="U65" s="33"/>
      <c r="V65" s="33"/>
      <c r="W65" s="266"/>
      <c r="X65" s="33"/>
      <c r="Y65" s="33"/>
      <c r="Z65" s="33"/>
      <c r="AA65" s="33"/>
      <c r="AB65" s="266"/>
      <c r="AC65" s="33"/>
    </row>
    <row r="66" spans="2:29">
      <c r="B66" s="35" t="s">
        <v>211</v>
      </c>
      <c r="C66" s="267">
        <v>652</v>
      </c>
      <c r="D66" s="36">
        <v>580</v>
      </c>
      <c r="E66" s="36">
        <v>263</v>
      </c>
      <c r="F66" s="36">
        <v>432</v>
      </c>
      <c r="G66" s="36">
        <v>387</v>
      </c>
      <c r="H66" s="267">
        <v>502</v>
      </c>
      <c r="I66" s="36">
        <v>356</v>
      </c>
      <c r="J66" s="36">
        <v>-281</v>
      </c>
      <c r="K66" s="36">
        <v>10404</v>
      </c>
      <c r="L66" s="36">
        <v>8311</v>
      </c>
      <c r="M66" s="259">
        <v>18790</v>
      </c>
      <c r="N66" s="36">
        <v>5882</v>
      </c>
      <c r="O66" s="36">
        <v>4780</v>
      </c>
      <c r="P66" s="36">
        <v>3158</v>
      </c>
      <c r="Q66" s="36">
        <v>1565</v>
      </c>
      <c r="R66" s="262">
        <f>N66+O66+P66+Q66</f>
        <v>15385</v>
      </c>
      <c r="S66" s="36">
        <v>463</v>
      </c>
      <c r="T66" s="36">
        <f>T25</f>
        <v>-225</v>
      </c>
      <c r="U66" s="36">
        <f>U25</f>
        <v>-86</v>
      </c>
      <c r="V66" s="36">
        <f>V25</f>
        <v>-404</v>
      </c>
      <c r="W66" s="268">
        <f>S66+T66+U66+V66</f>
        <v>-252</v>
      </c>
      <c r="X66" s="36">
        <f>X25-30052</f>
        <v>549</v>
      </c>
      <c r="Y66" s="36">
        <f>Y25</f>
        <v>150</v>
      </c>
      <c r="Z66" s="36">
        <v>-424</v>
      </c>
      <c r="AA66" s="36">
        <f>AA25</f>
        <v>-47</v>
      </c>
      <c r="AB66" s="268">
        <f>X66+Y66+Z66+AA66</f>
        <v>228</v>
      </c>
      <c r="AC66" s="36">
        <f>AC25</f>
        <v>699</v>
      </c>
    </row>
    <row r="67" spans="2:29">
      <c r="B67" s="28"/>
      <c r="C67" s="263"/>
      <c r="D67" s="29"/>
      <c r="E67" s="29"/>
      <c r="F67" s="29"/>
      <c r="G67" s="29"/>
      <c r="H67" s="263"/>
      <c r="I67" s="29"/>
      <c r="J67" s="29"/>
      <c r="K67" s="29"/>
      <c r="L67" s="29"/>
      <c r="M67" s="263"/>
      <c r="N67" s="29"/>
      <c r="O67" s="29"/>
      <c r="P67" s="29"/>
      <c r="Q67" s="29"/>
      <c r="R67" s="263"/>
      <c r="S67" s="29"/>
      <c r="T67" s="29"/>
      <c r="U67" s="29"/>
      <c r="V67" s="29"/>
      <c r="W67" s="263"/>
      <c r="X67" s="29"/>
      <c r="Y67" s="29"/>
      <c r="Z67" s="29"/>
      <c r="AA67" s="29"/>
      <c r="AB67" s="263"/>
      <c r="AC67" s="29"/>
    </row>
    <row r="68" spans="2:29">
      <c r="B68" s="28" t="s">
        <v>197</v>
      </c>
      <c r="C68" s="264">
        <v>-59035.522600000448</v>
      </c>
      <c r="D68" s="30">
        <v>-14924</v>
      </c>
      <c r="E68" s="30">
        <v>-10415</v>
      </c>
      <c r="F68" s="30">
        <v>-3575.9000000000015</v>
      </c>
      <c r="G68" s="30">
        <v>-6836</v>
      </c>
      <c r="H68" s="264">
        <v>-35750.9</v>
      </c>
      <c r="I68" s="30">
        <v>-5477</v>
      </c>
      <c r="J68" s="30">
        <v>-14654</v>
      </c>
      <c r="K68" s="30">
        <v>-664</v>
      </c>
      <c r="L68" s="30">
        <v>-14119</v>
      </c>
      <c r="M68" s="264">
        <v>-34914</v>
      </c>
      <c r="N68" s="30">
        <f t="shared" ref="N68:T68" si="62">N63+N66</f>
        <v>-16558</v>
      </c>
      <c r="O68" s="30">
        <f t="shared" si="62"/>
        <v>-15062</v>
      </c>
      <c r="P68" s="30">
        <f t="shared" si="62"/>
        <v>-2430</v>
      </c>
      <c r="Q68" s="30">
        <f t="shared" si="62"/>
        <v>-14428</v>
      </c>
      <c r="R68" s="264">
        <f t="shared" si="62"/>
        <v>-48478</v>
      </c>
      <c r="S68" s="30">
        <f t="shared" si="62"/>
        <v>1847</v>
      </c>
      <c r="T68" s="30">
        <f t="shared" si="62"/>
        <v>1116</v>
      </c>
      <c r="U68" s="30">
        <f t="shared" ref="U68:X68" si="63">U63+U66</f>
        <v>12234</v>
      </c>
      <c r="V68" s="30">
        <f t="shared" si="63"/>
        <v>334</v>
      </c>
      <c r="W68" s="264">
        <f t="shared" si="63"/>
        <v>15531</v>
      </c>
      <c r="X68" s="30">
        <f t="shared" si="63"/>
        <v>7367</v>
      </c>
      <c r="Y68" s="30">
        <f t="shared" ref="Y68:AB68" si="64">Y63+Y66</f>
        <v>17819</v>
      </c>
      <c r="Z68" s="30">
        <f t="shared" si="64"/>
        <v>14195</v>
      </c>
      <c r="AA68" s="30">
        <f t="shared" si="64"/>
        <v>2756</v>
      </c>
      <c r="AB68" s="264">
        <f t="shared" si="64"/>
        <v>42137</v>
      </c>
      <c r="AC68" s="30">
        <f t="shared" ref="AC68" si="65">AC63+AC66</f>
        <v>4704</v>
      </c>
    </row>
    <row r="69" spans="2:29">
      <c r="B69" s="28"/>
      <c r="C69" s="264"/>
      <c r="D69" s="30"/>
      <c r="E69" s="30"/>
      <c r="F69" s="30"/>
      <c r="G69" s="30"/>
      <c r="H69" s="264"/>
      <c r="I69" s="30"/>
      <c r="J69" s="30"/>
      <c r="K69" s="30"/>
      <c r="L69" s="30"/>
      <c r="M69" s="264"/>
      <c r="N69" s="30"/>
      <c r="O69" s="30"/>
      <c r="P69" s="30"/>
      <c r="Q69" s="30"/>
      <c r="R69" s="264"/>
      <c r="S69" s="30"/>
      <c r="T69" s="30"/>
      <c r="U69" s="30"/>
      <c r="V69" s="30"/>
      <c r="W69" s="264"/>
      <c r="X69" s="30"/>
      <c r="Y69" s="30"/>
      <c r="Z69" s="30"/>
      <c r="AA69" s="30"/>
      <c r="AB69" s="264"/>
      <c r="AC69" s="30"/>
    </row>
    <row r="70" spans="2:29">
      <c r="B70" s="35" t="s">
        <v>6</v>
      </c>
      <c r="C70" s="268">
        <v>-22797</v>
      </c>
      <c r="D70" s="27">
        <v>-4556</v>
      </c>
      <c r="E70" s="27">
        <v>-3164</v>
      </c>
      <c r="F70" s="27">
        <v>-2514</v>
      </c>
      <c r="G70" s="27">
        <v>-2352</v>
      </c>
      <c r="H70" s="268">
        <v>-12586</v>
      </c>
      <c r="I70" s="27">
        <v>-1078</v>
      </c>
      <c r="J70" s="27">
        <v>-3790</v>
      </c>
      <c r="K70" s="27">
        <v>-2941</v>
      </c>
      <c r="L70" s="27">
        <v>-5155</v>
      </c>
      <c r="M70" s="267">
        <v>-12964</v>
      </c>
      <c r="N70" s="27">
        <v>-216</v>
      </c>
      <c r="O70" s="27">
        <v>190</v>
      </c>
      <c r="P70" s="27">
        <v>-227</v>
      </c>
      <c r="Q70" s="27">
        <v>-11199</v>
      </c>
      <c r="R70" s="268">
        <f>N70+O70+P70+Q70</f>
        <v>-11452</v>
      </c>
      <c r="S70" s="36">
        <v>934</v>
      </c>
      <c r="T70" s="27">
        <v>-1291</v>
      </c>
      <c r="U70" s="27">
        <v>2347</v>
      </c>
      <c r="V70" s="27">
        <v>-2628</v>
      </c>
      <c r="W70" s="268">
        <f>S70+T70+U70+V70</f>
        <v>-638</v>
      </c>
      <c r="X70" s="36">
        <v>865</v>
      </c>
      <c r="Y70" s="36">
        <v>-12</v>
      </c>
      <c r="Z70" s="36">
        <v>4271</v>
      </c>
      <c r="AA70" s="27">
        <v>3391</v>
      </c>
      <c r="AB70" s="268">
        <f>X70+Y70+Z70+AA70</f>
        <v>8515</v>
      </c>
      <c r="AC70" s="27">
        <v>1237</v>
      </c>
    </row>
    <row r="71" spans="2:29">
      <c r="B71" s="28"/>
      <c r="C71" s="263"/>
      <c r="D71" s="29"/>
      <c r="E71" s="29"/>
      <c r="F71" s="29"/>
      <c r="G71" s="29"/>
      <c r="H71" s="263"/>
      <c r="I71" s="29"/>
      <c r="J71" s="29"/>
      <c r="K71" s="29"/>
      <c r="L71" s="29"/>
      <c r="M71" s="263"/>
      <c r="N71" s="29"/>
      <c r="O71" s="29"/>
      <c r="P71" s="29"/>
      <c r="Q71" s="29"/>
      <c r="R71" s="263"/>
      <c r="S71" s="29"/>
      <c r="T71" s="29"/>
      <c r="U71" s="29"/>
      <c r="V71" s="29"/>
      <c r="W71" s="263"/>
      <c r="X71" s="29"/>
      <c r="Y71" s="29"/>
      <c r="Z71" s="29"/>
      <c r="AA71" s="29"/>
      <c r="AB71" s="263"/>
      <c r="AC71" s="29"/>
    </row>
    <row r="72" spans="2:29">
      <c r="B72" s="37" t="s">
        <v>134</v>
      </c>
      <c r="C72" s="269">
        <f>C68-C70</f>
        <v>-36238.522600000448</v>
      </c>
      <c r="D72" s="38">
        <f t="shared" ref="D72:M72" si="66">D68-D70</f>
        <v>-10368</v>
      </c>
      <c r="E72" s="38">
        <f t="shared" si="66"/>
        <v>-7251</v>
      </c>
      <c r="F72" s="38">
        <f t="shared" si="66"/>
        <v>-1061.9000000000015</v>
      </c>
      <c r="G72" s="38">
        <f t="shared" si="66"/>
        <v>-4484</v>
      </c>
      <c r="H72" s="269">
        <f t="shared" si="66"/>
        <v>-23164.9</v>
      </c>
      <c r="I72" s="38">
        <f t="shared" si="66"/>
        <v>-4399</v>
      </c>
      <c r="J72" s="38">
        <f t="shared" si="66"/>
        <v>-10864</v>
      </c>
      <c r="K72" s="38">
        <f t="shared" si="66"/>
        <v>2277</v>
      </c>
      <c r="L72" s="38">
        <f t="shared" si="66"/>
        <v>-8964</v>
      </c>
      <c r="M72" s="269">
        <f t="shared" si="66"/>
        <v>-21950</v>
      </c>
      <c r="N72" s="38">
        <f t="shared" ref="N72:P72" si="67">N68-N70</f>
        <v>-16342</v>
      </c>
      <c r="O72" s="38">
        <f>O68-O70</f>
        <v>-15252</v>
      </c>
      <c r="P72" s="38">
        <f t="shared" si="67"/>
        <v>-2203</v>
      </c>
      <c r="Q72" s="38">
        <f t="shared" ref="Q72:T72" si="68">Q68-Q70</f>
        <v>-3229</v>
      </c>
      <c r="R72" s="269">
        <f t="shared" si="68"/>
        <v>-37026</v>
      </c>
      <c r="S72" s="38">
        <f t="shared" si="68"/>
        <v>913</v>
      </c>
      <c r="T72" s="38">
        <f t="shared" si="68"/>
        <v>2407</v>
      </c>
      <c r="U72" s="38">
        <f t="shared" ref="U72:X72" si="69">U68-U70</f>
        <v>9887</v>
      </c>
      <c r="V72" s="38">
        <f t="shared" si="69"/>
        <v>2962</v>
      </c>
      <c r="W72" s="269">
        <f t="shared" si="69"/>
        <v>16169</v>
      </c>
      <c r="X72" s="38">
        <f t="shared" si="69"/>
        <v>6502</v>
      </c>
      <c r="Y72" s="38">
        <f t="shared" ref="Y72:AB72" si="70">Y68-Y70</f>
        <v>17831</v>
      </c>
      <c r="Z72" s="38">
        <f t="shared" si="70"/>
        <v>9924</v>
      </c>
      <c r="AA72" s="38">
        <f t="shared" si="70"/>
        <v>-635</v>
      </c>
      <c r="AB72" s="269">
        <f t="shared" si="70"/>
        <v>33622</v>
      </c>
      <c r="AC72" s="38">
        <f>AC68-AC70</f>
        <v>3467</v>
      </c>
    </row>
    <row r="73" spans="2:29">
      <c r="B73" s="37"/>
      <c r="C73" s="269"/>
      <c r="D73" s="38"/>
      <c r="E73" s="38"/>
      <c r="F73" s="38"/>
      <c r="G73" s="38"/>
      <c r="H73" s="269"/>
      <c r="I73" s="38"/>
      <c r="J73" s="38"/>
      <c r="K73" s="38"/>
      <c r="L73" s="38"/>
      <c r="M73" s="269"/>
      <c r="N73" s="29"/>
      <c r="O73" s="29"/>
      <c r="P73" s="29"/>
      <c r="Q73" s="29"/>
      <c r="R73" s="263"/>
      <c r="S73" s="29"/>
      <c r="T73" s="29"/>
      <c r="U73" s="29"/>
      <c r="V73" s="29"/>
      <c r="W73" s="263"/>
      <c r="X73" s="29"/>
      <c r="Y73" s="29"/>
      <c r="Z73" s="29"/>
      <c r="AA73" s="29"/>
      <c r="AB73" s="263"/>
      <c r="AC73" s="29"/>
    </row>
    <row r="74" spans="2:29" ht="13.5" thickBot="1">
      <c r="B74" s="42" t="s">
        <v>137</v>
      </c>
      <c r="C74" s="271">
        <v>-0.47</v>
      </c>
      <c r="D74" s="43">
        <v>-0.13</v>
      </c>
      <c r="E74" s="43">
        <v>-0.09</v>
      </c>
      <c r="F74" s="43">
        <v>-0.01</v>
      </c>
      <c r="G74" s="43">
        <v>-0.06</v>
      </c>
      <c r="H74" s="271">
        <v>-0.28999999999999998</v>
      </c>
      <c r="I74" s="43">
        <v>-0.06</v>
      </c>
      <c r="J74" s="43">
        <v>-0.14000000000000001</v>
      </c>
      <c r="K74" s="43">
        <v>0.03</v>
      </c>
      <c r="L74" s="43">
        <v>-0.13</v>
      </c>
      <c r="M74" s="271">
        <v>-0.28999999999999998</v>
      </c>
      <c r="N74" s="43">
        <v>-0.24</v>
      </c>
      <c r="O74" s="43">
        <f t="shared" ref="O74" si="71">O72/67684</f>
        <v>-0.22534129188582236</v>
      </c>
      <c r="P74" s="43">
        <v>-0.03</v>
      </c>
      <c r="Q74" s="43">
        <v>-0.05</v>
      </c>
      <c r="R74" s="271">
        <v>-0.55000000000000004</v>
      </c>
      <c r="S74" s="43">
        <f>S72/EPS!S35</f>
        <v>1.3558667597309058E-2</v>
      </c>
      <c r="T74" s="43">
        <f>T72/EPS!T35</f>
        <v>3.4983431195860705E-2</v>
      </c>
      <c r="U74" s="43">
        <f>U72/EPS!U35</f>
        <v>0.14169831601576496</v>
      </c>
      <c r="V74" s="43">
        <f>V72/EPS!V35</f>
        <v>4.2353614070208052E-2</v>
      </c>
      <c r="W74" s="271">
        <f>W72/EPS!W35</f>
        <v>0.23445990770379663</v>
      </c>
      <c r="X74" s="43">
        <f>X72/EPS!X35</f>
        <v>9.3412829538107894E-2</v>
      </c>
      <c r="Y74" s="43">
        <f>Y72/EPS!Y35</f>
        <v>0.25717912105346663</v>
      </c>
      <c r="Z74" s="43">
        <f>Z72/EPS!Z35</f>
        <v>0.14189710886785439</v>
      </c>
      <c r="AA74" s="43">
        <f>AA72/EPS!AA35</f>
        <v>-9.1559246762984107E-3</v>
      </c>
      <c r="AB74" s="271">
        <f>AB72/EPS!AB35</f>
        <v>0.48335250143760783</v>
      </c>
      <c r="AC74" s="43">
        <f>AC72/EPS!AC35</f>
        <v>5.0104776356673167E-2</v>
      </c>
    </row>
    <row r="75" spans="2:29" ht="13.5" thickTop="1">
      <c r="B75" s="28"/>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row>
    <row r="76" spans="2:29">
      <c r="B76" s="45" t="s">
        <v>182</v>
      </c>
    </row>
    <row r="77" spans="2:29">
      <c r="B77" s="1" t="s">
        <v>146</v>
      </c>
    </row>
  </sheetData>
  <hyperlinks>
    <hyperlink ref="C5" location="Cover!A1" display="Back to Main" xr:uid="{F910924E-D5EF-4616-9A37-E1A9A67C68E7}"/>
  </hyperlinks>
  <pageMargins left="0.25" right="0.25" top="0.5" bottom="0.5" header="0.3" footer="0.55000000000000004"/>
  <pageSetup scale="38"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J78"/>
  <sheetViews>
    <sheetView showGridLines="0" topLeftCell="A20" zoomScale="80" zoomScaleNormal="80" zoomScaleSheetLayoutView="80" workbookViewId="0">
      <selection activeCell="AF49" sqref="AF49"/>
    </sheetView>
  </sheetViews>
  <sheetFormatPr defaultColWidth="9.140625" defaultRowHeight="15" customHeight="1" outlineLevelRow="1" outlineLevelCol="1"/>
  <cols>
    <col min="1" max="1" width="5.5703125" style="1" customWidth="1"/>
    <col min="2" max="2" width="44.28515625" style="6" customWidth="1"/>
    <col min="3" max="6" width="10.5703125" style="6" hidden="1" customWidth="1" outlineLevel="1"/>
    <col min="7" max="7" width="11.140625" style="1" hidden="1" customWidth="1" outlineLevel="1" collapsed="1"/>
    <col min="8" max="11" width="10.5703125" style="6" hidden="1" customWidth="1" outlineLevel="1"/>
    <col min="12" max="12" width="11.42578125" style="1" customWidth="1" collapsed="1"/>
    <col min="13" max="13" width="10.140625" style="6" customWidth="1"/>
    <col min="14" max="16" width="10.5703125" style="6" customWidth="1"/>
    <col min="17" max="17" width="11.7109375" style="1" customWidth="1"/>
    <col min="18" max="21" width="10.5703125" style="6" customWidth="1"/>
    <col min="22" max="22" width="11.7109375" style="1" customWidth="1"/>
    <col min="23" max="26" width="10.5703125" style="6" customWidth="1"/>
    <col min="27" max="27" width="11.7109375" style="1" customWidth="1"/>
    <col min="28" max="31" width="10.5703125" style="6" customWidth="1"/>
    <col min="32" max="32" width="11.7109375" style="1" customWidth="1"/>
    <col min="33" max="33" width="10.5703125" style="6" customWidth="1"/>
    <col min="34" max="34" width="9.140625" style="1"/>
    <col min="35" max="35" width="10" style="1" customWidth="1"/>
    <col min="36" max="16384" width="9.140625" style="1"/>
  </cols>
  <sheetData>
    <row r="1" spans="2:33" ht="15" customHeight="1">
      <c r="B1" s="5"/>
    </row>
    <row r="2" spans="2:33" ht="15" customHeight="1">
      <c r="B2" s="5"/>
    </row>
    <row r="3" spans="2:33" ht="15" customHeight="1">
      <c r="B3" s="5"/>
    </row>
    <row r="4" spans="2:33" ht="15" customHeight="1">
      <c r="B4" s="5"/>
    </row>
    <row r="5" spans="2:33" s="9" customFormat="1" ht="15" customHeight="1">
      <c r="B5" s="8" t="s">
        <v>38</v>
      </c>
      <c r="C5" s="10"/>
      <c r="D5" s="10"/>
      <c r="E5" s="10"/>
      <c r="F5" s="10"/>
      <c r="G5" s="7" t="s">
        <v>46</v>
      </c>
      <c r="H5" s="10"/>
      <c r="I5" s="10"/>
      <c r="J5" s="10"/>
      <c r="K5" s="10"/>
      <c r="M5" s="10"/>
      <c r="N5" s="10"/>
      <c r="O5" s="10"/>
      <c r="P5" s="10"/>
      <c r="R5" s="10"/>
      <c r="S5" s="10"/>
      <c r="T5" s="10"/>
      <c r="U5" s="10"/>
      <c r="W5" s="10"/>
      <c r="X5" s="10"/>
      <c r="Y5" s="10"/>
      <c r="Z5" s="10"/>
      <c r="AB5" s="10"/>
      <c r="AC5" s="10"/>
      <c r="AD5" s="10"/>
      <c r="AE5" s="10"/>
      <c r="AG5" s="10"/>
    </row>
    <row r="6" spans="2:33" s="9" customFormat="1" ht="15" customHeight="1">
      <c r="B6" s="11" t="s">
        <v>39</v>
      </c>
      <c r="C6" s="13"/>
      <c r="D6" s="13"/>
      <c r="E6" s="13"/>
      <c r="F6" s="13"/>
      <c r="G6" s="12"/>
      <c r="H6" s="13"/>
      <c r="I6" s="13"/>
      <c r="J6" s="13"/>
      <c r="K6" s="13"/>
      <c r="L6" s="12"/>
      <c r="M6" s="13"/>
      <c r="N6" s="13"/>
      <c r="O6" s="13"/>
      <c r="P6" s="13"/>
      <c r="Q6" s="12"/>
      <c r="R6" s="13"/>
      <c r="S6" s="13"/>
      <c r="T6" s="13"/>
      <c r="U6" s="13"/>
      <c r="V6" s="12"/>
      <c r="W6" s="13"/>
      <c r="X6" s="13"/>
      <c r="Y6" s="13"/>
      <c r="Z6" s="13"/>
      <c r="AA6" s="12"/>
      <c r="AB6" s="13"/>
      <c r="AC6" s="13"/>
      <c r="AD6" s="13"/>
      <c r="AE6" s="13"/>
      <c r="AF6" s="12"/>
      <c r="AG6" s="13"/>
    </row>
    <row r="7" spans="2:33" ht="15" customHeight="1">
      <c r="B7" s="6" t="s">
        <v>148</v>
      </c>
    </row>
    <row r="8" spans="2:33" ht="15" customHeight="1">
      <c r="C8" s="50"/>
      <c r="D8" s="50"/>
      <c r="E8" s="50"/>
      <c r="F8" s="50"/>
      <c r="G8" s="51" t="s">
        <v>117</v>
      </c>
      <c r="H8" s="50" t="s">
        <v>75</v>
      </c>
      <c r="I8" s="50" t="s">
        <v>76</v>
      </c>
      <c r="J8" s="50" t="s">
        <v>77</v>
      </c>
      <c r="K8" s="50" t="s">
        <v>78</v>
      </c>
      <c r="L8" s="51" t="s">
        <v>44</v>
      </c>
      <c r="M8" s="50" t="s">
        <v>79</v>
      </c>
      <c r="N8" s="50" t="s">
        <v>80</v>
      </c>
      <c r="O8" s="50" t="s">
        <v>81</v>
      </c>
      <c r="P8" s="50" t="s">
        <v>82</v>
      </c>
      <c r="Q8" s="51" t="s">
        <v>83</v>
      </c>
      <c r="R8" s="50" t="s">
        <v>151</v>
      </c>
      <c r="S8" s="50" t="s">
        <v>150</v>
      </c>
      <c r="T8" s="50" t="s">
        <v>189</v>
      </c>
      <c r="U8" s="277" t="str">
        <f>'Income Statement'!Q8</f>
        <v>Q4 20</v>
      </c>
      <c r="V8" s="51" t="s">
        <v>191</v>
      </c>
      <c r="W8" s="50" t="s">
        <v>193</v>
      </c>
      <c r="X8" s="50" t="s">
        <v>194</v>
      </c>
      <c r="Y8" s="50" t="s">
        <v>199</v>
      </c>
      <c r="Z8" s="50" t="s">
        <v>204</v>
      </c>
      <c r="AA8" s="51" t="s">
        <v>203</v>
      </c>
      <c r="AB8" s="50" t="s">
        <v>205</v>
      </c>
      <c r="AC8" s="50" t="s">
        <v>213</v>
      </c>
      <c r="AD8" s="50" t="s">
        <v>217</v>
      </c>
      <c r="AE8" s="50" t="s">
        <v>219</v>
      </c>
      <c r="AF8" s="51" t="s">
        <v>218</v>
      </c>
      <c r="AG8" s="50" t="s">
        <v>221</v>
      </c>
    </row>
    <row r="9" spans="2:33" ht="15" customHeight="1">
      <c r="G9" s="52"/>
      <c r="L9" s="52"/>
      <c r="Q9" s="52"/>
      <c r="V9" s="52"/>
      <c r="AA9" s="52"/>
      <c r="AF9" s="52"/>
    </row>
    <row r="10" spans="2:33" s="48" customFormat="1" ht="15" customHeight="1" outlineLevel="1">
      <c r="B10" s="53" t="s">
        <v>32</v>
      </c>
      <c r="C10" s="54"/>
      <c r="D10" s="54"/>
      <c r="E10" s="54"/>
      <c r="F10" s="54"/>
      <c r="G10" s="55">
        <v>174760</v>
      </c>
      <c r="H10" s="54">
        <v>46757</v>
      </c>
      <c r="I10" s="54">
        <v>54013</v>
      </c>
      <c r="J10" s="54">
        <v>59121</v>
      </c>
      <c r="K10" s="54">
        <v>60210</v>
      </c>
      <c r="L10" s="55">
        <f>SUM(H10:K10)</f>
        <v>220101</v>
      </c>
      <c r="M10" s="54">
        <v>62471</v>
      </c>
      <c r="N10" s="54">
        <v>64812</v>
      </c>
      <c r="O10" s="54">
        <v>80021</v>
      </c>
      <c r="P10" s="54">
        <v>78316</v>
      </c>
      <c r="Q10" s="55">
        <f>SUM(M10:P10)</f>
        <v>285620</v>
      </c>
      <c r="R10" s="54">
        <f>'Income Statement'!N9</f>
        <v>82511</v>
      </c>
      <c r="S10" s="54">
        <f>'Income Statement'!O9</f>
        <v>90143</v>
      </c>
      <c r="T10" s="54">
        <f>'Income Statement'!P9</f>
        <v>102217</v>
      </c>
      <c r="U10" s="54">
        <f>'Income Statement'!Q9</f>
        <v>105701</v>
      </c>
      <c r="V10" s="55">
        <f>SUM(R10:U10)</f>
        <v>380572</v>
      </c>
      <c r="W10" s="54">
        <f>'Income Statement'!S9</f>
        <v>99437</v>
      </c>
      <c r="X10" s="54">
        <f>'Income Statement'!T9</f>
        <v>104661</v>
      </c>
      <c r="Y10" s="54">
        <f>'Income Statement'!U9</f>
        <v>119753</v>
      </c>
      <c r="Z10" s="54">
        <f>'Income Statement'!V9</f>
        <v>119175</v>
      </c>
      <c r="AA10" s="55">
        <f>SUM(W10:Z10)</f>
        <v>443026</v>
      </c>
      <c r="AB10" s="54">
        <f>'Income Statement'!X9</f>
        <v>119038</v>
      </c>
      <c r="AC10" s="54">
        <f>'Income Statement'!Y9</f>
        <v>127290</v>
      </c>
      <c r="AD10" s="54">
        <f>'Income Statement'!Z9</f>
        <v>140604</v>
      </c>
      <c r="AE10" s="54">
        <f>'Income Statement'!AA9</f>
        <v>141725</v>
      </c>
      <c r="AF10" s="55">
        <f>SUM(AB10:AE10)</f>
        <v>528657</v>
      </c>
      <c r="AG10" s="54">
        <f>'Income Statement'!AC9</f>
        <v>142243</v>
      </c>
    </row>
    <row r="11" spans="2:33" s="48" customFormat="1" ht="15" customHeight="1" outlineLevel="1">
      <c r="B11" s="6"/>
      <c r="C11" s="6"/>
      <c r="D11" s="6"/>
      <c r="E11" s="6"/>
      <c r="F11" s="6"/>
      <c r="G11" s="52"/>
      <c r="H11" s="6"/>
      <c r="I11" s="6"/>
      <c r="J11" s="6"/>
      <c r="K11" s="6"/>
      <c r="L11" s="52"/>
      <c r="M11" s="6"/>
      <c r="N11" s="6"/>
      <c r="O11" s="6"/>
      <c r="P11" s="6"/>
      <c r="Q11" s="52"/>
      <c r="R11" s="6"/>
      <c r="S11" s="6"/>
      <c r="T11" s="6"/>
      <c r="U11" s="6"/>
      <c r="V11" s="52"/>
      <c r="W11" s="6"/>
      <c r="X11" s="6"/>
      <c r="Y11" s="6"/>
      <c r="Z11" s="6"/>
      <c r="AA11" s="52"/>
      <c r="AB11" s="6"/>
      <c r="AC11" s="6"/>
      <c r="AD11" s="6"/>
      <c r="AE11" s="6"/>
      <c r="AF11" s="52"/>
      <c r="AG11" s="6"/>
    </row>
    <row r="12" spans="2:33" s="48" customFormat="1" ht="15" customHeight="1" outlineLevel="1">
      <c r="B12" s="6" t="s">
        <v>33</v>
      </c>
      <c r="C12" s="56"/>
      <c r="D12" s="56"/>
      <c r="E12" s="56"/>
      <c r="F12" s="56"/>
      <c r="G12" s="57">
        <v>74784</v>
      </c>
      <c r="H12" s="56">
        <v>22696</v>
      </c>
      <c r="I12" s="56">
        <v>30004</v>
      </c>
      <c r="J12" s="56">
        <v>34595</v>
      </c>
      <c r="K12" s="56">
        <v>36410</v>
      </c>
      <c r="L12" s="57">
        <f>SUM(H12:K12)</f>
        <v>123705</v>
      </c>
      <c r="M12" s="56">
        <v>38817</v>
      </c>
      <c r="N12" s="56">
        <v>40346</v>
      </c>
      <c r="O12" s="56">
        <v>45183</v>
      </c>
      <c r="P12" s="56">
        <v>40556</v>
      </c>
      <c r="Q12" s="57">
        <f>SUM(M12:P12)</f>
        <v>164902</v>
      </c>
      <c r="R12" s="56">
        <f>'Income Statement'!N12</f>
        <v>46085</v>
      </c>
      <c r="S12" s="56">
        <f>'Income Statement'!O12</f>
        <v>48683</v>
      </c>
      <c r="T12" s="56">
        <f>'Income Statement'!P12</f>
        <v>64251</v>
      </c>
      <c r="U12" s="56">
        <f>'Income Statement'!Q12</f>
        <v>68849</v>
      </c>
      <c r="V12" s="57">
        <f>SUM(R12:U12)</f>
        <v>227868</v>
      </c>
      <c r="W12" s="56">
        <f>'Income Statement'!S12</f>
        <v>64972</v>
      </c>
      <c r="X12" s="56">
        <f>'Income Statement'!T12</f>
        <v>69764</v>
      </c>
      <c r="Y12" s="56">
        <f>'Income Statement'!U12</f>
        <v>82668</v>
      </c>
      <c r="Z12" s="56">
        <f>'Income Statement'!V12</f>
        <v>81618</v>
      </c>
      <c r="AA12" s="57">
        <f>SUM(W12:Z12)</f>
        <v>299022</v>
      </c>
      <c r="AB12" s="56">
        <f>'Income Statement'!X12</f>
        <v>84723</v>
      </c>
      <c r="AC12" s="56">
        <f>'Income Statement'!Y12</f>
        <v>92211</v>
      </c>
      <c r="AD12" s="56">
        <f>'Income Statement'!Z12</f>
        <v>102047</v>
      </c>
      <c r="AE12" s="56">
        <f>'Income Statement'!AA12</f>
        <v>102249</v>
      </c>
      <c r="AF12" s="57">
        <f>SUM(AB12:AE12)</f>
        <v>381230</v>
      </c>
      <c r="AG12" s="56">
        <f>'Income Statement'!AC12</f>
        <v>101222</v>
      </c>
    </row>
    <row r="13" spans="2:33" s="48" customFormat="1" ht="15" customHeight="1" outlineLevel="1">
      <c r="B13" s="58" t="s">
        <v>0</v>
      </c>
      <c r="C13" s="6"/>
      <c r="D13" s="6"/>
      <c r="E13" s="6"/>
      <c r="F13" s="6"/>
      <c r="G13" s="59">
        <f t="shared" ref="G13:P13" si="0">G12/G10</f>
        <v>0.42792401007095443</v>
      </c>
      <c r="H13" s="60">
        <f t="shared" si="0"/>
        <v>0.48540325512757448</v>
      </c>
      <c r="I13" s="60">
        <f t="shared" si="0"/>
        <v>0.55549589913539332</v>
      </c>
      <c r="J13" s="60">
        <f t="shared" si="0"/>
        <v>0.58515586678168496</v>
      </c>
      <c r="K13" s="60">
        <f t="shared" si="0"/>
        <v>0.6047168244477662</v>
      </c>
      <c r="L13" s="59">
        <f t="shared" si="0"/>
        <v>0.56203742827156622</v>
      </c>
      <c r="M13" s="60">
        <f t="shared" si="0"/>
        <v>0.6213603111843895</v>
      </c>
      <c r="N13" s="60">
        <f t="shared" si="0"/>
        <v>0.62250817749799425</v>
      </c>
      <c r="O13" s="60">
        <f t="shared" si="0"/>
        <v>0.56463928218842552</v>
      </c>
      <c r="P13" s="60">
        <f t="shared" si="0"/>
        <v>0.51785075846570305</v>
      </c>
      <c r="Q13" s="59">
        <f>Q12/$Q$10</f>
        <v>0.57734752468314543</v>
      </c>
      <c r="R13" s="60">
        <f t="shared" ref="R13:X13" si="1">R12/R10</f>
        <v>0.55853158972743033</v>
      </c>
      <c r="S13" s="60">
        <f t="shared" si="1"/>
        <v>0.54006412034212303</v>
      </c>
      <c r="T13" s="60">
        <f t="shared" si="1"/>
        <v>0.62857450326266673</v>
      </c>
      <c r="U13" s="60">
        <f t="shared" si="1"/>
        <v>0.65135618395284811</v>
      </c>
      <c r="V13" s="59">
        <f t="shared" si="1"/>
        <v>0.59875135322619633</v>
      </c>
      <c r="W13" s="60">
        <f t="shared" si="1"/>
        <v>0.65339863431117184</v>
      </c>
      <c r="X13" s="60">
        <f t="shared" si="1"/>
        <v>0.66657112009248909</v>
      </c>
      <c r="Y13" s="60">
        <f t="shared" ref="Y13:AB13" si="2">Y12/Y10</f>
        <v>0.69032091054086331</v>
      </c>
      <c r="Z13" s="60">
        <f t="shared" si="2"/>
        <v>0.68485840151038391</v>
      </c>
      <c r="AA13" s="59">
        <f t="shared" si="2"/>
        <v>0.6749536144605508</v>
      </c>
      <c r="AB13" s="60">
        <f t="shared" si="2"/>
        <v>0.71173070784119352</v>
      </c>
      <c r="AC13" s="60">
        <f t="shared" ref="AC13:AF13" si="3">AC12/AC10</f>
        <v>0.7244166863068584</v>
      </c>
      <c r="AD13" s="60">
        <f t="shared" si="3"/>
        <v>0.72577593809564456</v>
      </c>
      <c r="AE13" s="60">
        <f t="shared" si="3"/>
        <v>0.7214605750573293</v>
      </c>
      <c r="AF13" s="59">
        <f t="shared" si="3"/>
        <v>0.72112920097530153</v>
      </c>
      <c r="AG13" s="60">
        <f t="shared" ref="AG13" si="4">AG12/AG10</f>
        <v>0.71161322525537285</v>
      </c>
    </row>
    <row r="14" spans="2:33" s="48" customFormat="1" ht="15" customHeight="1" outlineLevel="1">
      <c r="B14" s="61" t="s">
        <v>1</v>
      </c>
      <c r="C14" s="6"/>
      <c r="D14" s="6"/>
      <c r="E14" s="6"/>
      <c r="F14" s="6"/>
      <c r="G14" s="62"/>
      <c r="H14" s="6"/>
      <c r="I14" s="6"/>
      <c r="J14" s="6"/>
      <c r="K14" s="6"/>
      <c r="L14" s="62"/>
      <c r="M14" s="6"/>
      <c r="N14" s="6"/>
      <c r="O14" s="6"/>
      <c r="P14" s="6"/>
      <c r="Q14" s="62"/>
      <c r="R14" s="6"/>
      <c r="S14" s="6"/>
      <c r="T14" s="6"/>
      <c r="U14" s="6"/>
      <c r="V14" s="62"/>
      <c r="W14" s="6"/>
      <c r="X14" s="6"/>
      <c r="Y14" s="6"/>
      <c r="Z14" s="6"/>
      <c r="AA14" s="62"/>
      <c r="AB14" s="6"/>
      <c r="AC14" s="6"/>
      <c r="AD14" s="6"/>
      <c r="AE14" s="6"/>
      <c r="AF14" s="62"/>
      <c r="AG14" s="6"/>
    </row>
    <row r="15" spans="2:33" ht="15" customHeight="1" outlineLevel="1">
      <c r="B15" s="63" t="s">
        <v>26</v>
      </c>
      <c r="G15" s="64">
        <v>18618</v>
      </c>
      <c r="H15" s="65">
        <v>5959</v>
      </c>
      <c r="I15" s="65">
        <v>6015</v>
      </c>
      <c r="J15" s="65">
        <v>5965</v>
      </c>
      <c r="K15" s="65">
        <v>5956</v>
      </c>
      <c r="L15" s="62">
        <v>23895</v>
      </c>
      <c r="M15" s="65">
        <v>5970</v>
      </c>
      <c r="N15" s="65">
        <v>3548</v>
      </c>
      <c r="O15" s="65">
        <v>3359</v>
      </c>
      <c r="P15" s="65">
        <v>2981</v>
      </c>
      <c r="Q15" s="62">
        <f>SUM(M15:P15)</f>
        <v>15858</v>
      </c>
      <c r="R15" s="65">
        <v>3123</v>
      </c>
      <c r="S15" s="65">
        <v>5369</v>
      </c>
      <c r="T15" s="65">
        <v>5369</v>
      </c>
      <c r="U15" s="65">
        <v>5181</v>
      </c>
      <c r="V15" s="62">
        <f>SUM(R15:U15)</f>
        <v>19042</v>
      </c>
      <c r="W15" s="65">
        <v>5306</v>
      </c>
      <c r="X15" s="65">
        <v>4350</v>
      </c>
      <c r="Y15" s="65">
        <v>4213</v>
      </c>
      <c r="Z15" s="65">
        <v>4177</v>
      </c>
      <c r="AA15" s="62">
        <f>SUM(W15:Z15)</f>
        <v>18046</v>
      </c>
      <c r="AB15" s="65">
        <v>4645</v>
      </c>
      <c r="AC15" s="65">
        <v>4612</v>
      </c>
      <c r="AD15" s="65">
        <v>4647</v>
      </c>
      <c r="AE15" s="65">
        <v>4807</v>
      </c>
      <c r="AF15" s="62">
        <f>SUM(AB15:AE15)</f>
        <v>18711</v>
      </c>
      <c r="AG15" s="65">
        <v>4643</v>
      </c>
    </row>
    <row r="16" spans="2:33" ht="15" customHeight="1" outlineLevel="1">
      <c r="B16" s="63" t="s">
        <v>9</v>
      </c>
      <c r="G16" s="64">
        <v>4318</v>
      </c>
      <c r="H16" s="65">
        <v>637.49643999999989</v>
      </c>
      <c r="I16" s="65">
        <v>653.84152999999969</v>
      </c>
      <c r="J16" s="65">
        <v>673.43476999999962</v>
      </c>
      <c r="K16" s="65">
        <v>686.99850999999978</v>
      </c>
      <c r="L16" s="62">
        <v>2651.4712500000001</v>
      </c>
      <c r="M16" s="65">
        <v>711</v>
      </c>
      <c r="N16" s="65">
        <v>781.88605999999993</v>
      </c>
      <c r="O16" s="65">
        <v>1052</v>
      </c>
      <c r="P16" s="65">
        <v>2163</v>
      </c>
      <c r="Q16" s="62">
        <f>SUM(M16:P16)</f>
        <v>4707.8860599999998</v>
      </c>
      <c r="R16" s="65">
        <v>755</v>
      </c>
      <c r="S16" s="65">
        <v>1060</v>
      </c>
      <c r="T16" s="65">
        <v>1028</v>
      </c>
      <c r="U16" s="65">
        <v>926</v>
      </c>
      <c r="V16" s="62">
        <f>SUM(R16:U16)</f>
        <v>3769</v>
      </c>
      <c r="W16" s="65">
        <v>775</v>
      </c>
      <c r="X16" s="65">
        <v>913</v>
      </c>
      <c r="Y16" s="65">
        <v>988</v>
      </c>
      <c r="Z16" s="65">
        <v>2624</v>
      </c>
      <c r="AA16" s="62">
        <f>SUM(W16:Z16)</f>
        <v>5300</v>
      </c>
      <c r="AB16" s="65">
        <v>790</v>
      </c>
      <c r="AC16" s="65">
        <v>948</v>
      </c>
      <c r="AD16" s="65">
        <v>1168</v>
      </c>
      <c r="AE16" s="65">
        <v>1205</v>
      </c>
      <c r="AF16" s="62">
        <f>SUM(AB16:AE16)</f>
        <v>4111</v>
      </c>
      <c r="AG16" s="65">
        <v>1163</v>
      </c>
    </row>
    <row r="17" spans="2:36" ht="15" customHeight="1" outlineLevel="1">
      <c r="B17" s="66" t="s">
        <v>24</v>
      </c>
      <c r="C17" s="13"/>
      <c r="D17" s="13"/>
      <c r="E17" s="13"/>
      <c r="F17" s="13"/>
      <c r="G17" s="67">
        <v>0</v>
      </c>
      <c r="H17" s="68">
        <v>0</v>
      </c>
      <c r="I17" s="68">
        <v>0</v>
      </c>
      <c r="J17" s="68">
        <v>0</v>
      </c>
      <c r="K17" s="68">
        <v>0</v>
      </c>
      <c r="L17" s="67">
        <v>0</v>
      </c>
      <c r="M17" s="68">
        <v>0</v>
      </c>
      <c r="N17" s="68">
        <v>0</v>
      </c>
      <c r="O17" s="68">
        <v>1527</v>
      </c>
      <c r="P17" s="68">
        <v>1445</v>
      </c>
      <c r="Q17" s="67">
        <f>SUM(M17:P17)</f>
        <v>2972</v>
      </c>
      <c r="R17" s="68">
        <v>1487</v>
      </c>
      <c r="S17" s="68">
        <v>1245</v>
      </c>
      <c r="T17" s="68">
        <v>0</v>
      </c>
      <c r="U17" s="68">
        <v>0</v>
      </c>
      <c r="V17" s="67">
        <f>SUM(R17:U17)</f>
        <v>2732</v>
      </c>
      <c r="W17" s="68">
        <v>0</v>
      </c>
      <c r="X17" s="68">
        <v>0</v>
      </c>
      <c r="Y17" s="68">
        <v>0</v>
      </c>
      <c r="Z17" s="68">
        <v>0</v>
      </c>
      <c r="AA17" s="67">
        <f>SUM(W17:Z17)</f>
        <v>0</v>
      </c>
      <c r="AB17" s="68">
        <v>0</v>
      </c>
      <c r="AC17" s="68">
        <v>0</v>
      </c>
      <c r="AD17" s="68">
        <v>0</v>
      </c>
      <c r="AE17" s="68">
        <v>0</v>
      </c>
      <c r="AF17" s="67">
        <f>SUM(AB17:AE17)</f>
        <v>0</v>
      </c>
      <c r="AG17" s="68">
        <v>0</v>
      </c>
    </row>
    <row r="18" spans="2:36" ht="15" customHeight="1" outlineLevel="1">
      <c r="B18" s="53" t="s">
        <v>2</v>
      </c>
      <c r="C18" s="69"/>
      <c r="D18" s="69"/>
      <c r="E18" s="69"/>
      <c r="F18" s="69"/>
      <c r="G18" s="70">
        <v>97720</v>
      </c>
      <c r="H18" s="69">
        <v>29292.496439999999</v>
      </c>
      <c r="I18" s="69">
        <v>36672.841529999998</v>
      </c>
      <c r="J18" s="69">
        <v>41233.43477</v>
      </c>
      <c r="K18" s="69">
        <v>43052.598510000003</v>
      </c>
      <c r="L18" s="70">
        <f>SUM(H18:K18)</f>
        <v>150251.37125</v>
      </c>
      <c r="M18" s="69">
        <v>45499</v>
      </c>
      <c r="N18" s="69">
        <v>44675.886059999997</v>
      </c>
      <c r="O18" s="69">
        <v>51121</v>
      </c>
      <c r="P18" s="69">
        <f>P12+P15+P16+P17</f>
        <v>47145</v>
      </c>
      <c r="Q18" s="70">
        <f>SUM(M18:P18)</f>
        <v>188440.88605999999</v>
      </c>
      <c r="R18" s="69">
        <f>R12+R15+R16+R17</f>
        <v>51450</v>
      </c>
      <c r="S18" s="69">
        <f>S12+S15+S16+S17</f>
        <v>56357</v>
      </c>
      <c r="T18" s="69">
        <f>T12+T15+T16+T17</f>
        <v>70648</v>
      </c>
      <c r="U18" s="69">
        <f>U12+U15+U16+U17</f>
        <v>74956</v>
      </c>
      <c r="V18" s="70">
        <f>SUM(R18:U18)</f>
        <v>253411</v>
      </c>
      <c r="W18" s="69">
        <f>W12+W15+W16+W17</f>
        <v>71053</v>
      </c>
      <c r="X18" s="69">
        <f>X12+X15+X16+X17</f>
        <v>75027</v>
      </c>
      <c r="Y18" s="69">
        <f>Y12+Y15+Y16+Y17</f>
        <v>87869</v>
      </c>
      <c r="Z18" s="69">
        <f>Z12+Z15+Z16+Z17</f>
        <v>88419</v>
      </c>
      <c r="AA18" s="70">
        <f>SUM(W18:Z18)</f>
        <v>322368</v>
      </c>
      <c r="AB18" s="69">
        <f>AB12+AB15+AB16+AB17</f>
        <v>90158</v>
      </c>
      <c r="AC18" s="69">
        <f>AC12+AC15+AC16+AC17</f>
        <v>97771</v>
      </c>
      <c r="AD18" s="69">
        <f>AD12+AD15+AD16+AD17</f>
        <v>107862</v>
      </c>
      <c r="AE18" s="69">
        <f>AE12+AE15+AE16+AE17</f>
        <v>108261</v>
      </c>
      <c r="AF18" s="70">
        <f>SUM(AB18:AE18)</f>
        <v>404052</v>
      </c>
      <c r="AG18" s="69">
        <f>AG12+AG15+AG16+AG17</f>
        <v>107028</v>
      </c>
    </row>
    <row r="19" spans="2:36" ht="15" customHeight="1" outlineLevel="1">
      <c r="B19" s="58" t="s">
        <v>87</v>
      </c>
      <c r="C19" s="60"/>
      <c r="D19" s="60"/>
      <c r="E19" s="60"/>
      <c r="F19" s="60"/>
      <c r="G19" s="71">
        <f>G18/G10</f>
        <v>0.55916685740444039</v>
      </c>
      <c r="H19" s="60">
        <v>0.62648365891738134</v>
      </c>
      <c r="I19" s="60">
        <v>0.67896324088645321</v>
      </c>
      <c r="J19" s="60">
        <v>0.69744142977960455</v>
      </c>
      <c r="K19" s="60">
        <v>0.71504730958312568</v>
      </c>
      <c r="L19" s="59">
        <v>0.6826491985497567</v>
      </c>
      <c r="M19" s="60">
        <v>0.72831180067551338</v>
      </c>
      <c r="N19" s="60">
        <v>0.68931503517867054</v>
      </c>
      <c r="O19" s="60">
        <v>0.63884480323914972</v>
      </c>
      <c r="P19" s="60">
        <f>P18/P10</f>
        <v>0.6019842688594923</v>
      </c>
      <c r="Q19" s="59">
        <f>Q18/$Q$10</f>
        <v>0.6597608222813528</v>
      </c>
      <c r="R19" s="60">
        <f t="shared" ref="R19:X19" si="5">R18/R10</f>
        <v>0.62355322320660278</v>
      </c>
      <c r="S19" s="60">
        <f t="shared" si="5"/>
        <v>0.62519552266953615</v>
      </c>
      <c r="T19" s="60">
        <f t="shared" si="5"/>
        <v>0.69115704824050794</v>
      </c>
      <c r="U19" s="60">
        <f t="shared" si="5"/>
        <v>0.7091323639322239</v>
      </c>
      <c r="V19" s="59">
        <f t="shared" si="5"/>
        <v>0.66586874494182446</v>
      </c>
      <c r="W19" s="60">
        <f t="shared" si="5"/>
        <v>0.71455293301286238</v>
      </c>
      <c r="X19" s="60">
        <f t="shared" si="5"/>
        <v>0.71685728208215094</v>
      </c>
      <c r="Y19" s="60">
        <f t="shared" ref="Y19:AB19" si="6">Y18/Y10</f>
        <v>0.73375197281070204</v>
      </c>
      <c r="Z19" s="60">
        <f t="shared" si="6"/>
        <v>0.74192573945877915</v>
      </c>
      <c r="AA19" s="59">
        <f t="shared" si="6"/>
        <v>0.72765029591942687</v>
      </c>
      <c r="AB19" s="60">
        <f t="shared" si="6"/>
        <v>0.75738839698247618</v>
      </c>
      <c r="AC19" s="60">
        <f t="shared" ref="AC19:AF19" si="7">AC18/AC10</f>
        <v>0.76809647262157277</v>
      </c>
      <c r="AD19" s="60">
        <f t="shared" si="7"/>
        <v>0.76713322522830074</v>
      </c>
      <c r="AE19" s="60">
        <f t="shared" si="7"/>
        <v>0.76388075498324215</v>
      </c>
      <c r="AF19" s="59">
        <f t="shared" si="7"/>
        <v>0.76429896889665705</v>
      </c>
      <c r="AG19" s="60">
        <f t="shared" ref="AG19" si="8">AG18/AG10</f>
        <v>0.75243069957748365</v>
      </c>
    </row>
    <row r="20" spans="2:36" ht="15" customHeight="1" outlineLevel="1">
      <c r="G20" s="62"/>
      <c r="L20" s="62"/>
      <c r="Q20" s="62"/>
      <c r="V20" s="62"/>
      <c r="AA20" s="62"/>
      <c r="AF20" s="62"/>
    </row>
    <row r="21" spans="2:36" ht="15" customHeight="1" outlineLevel="1">
      <c r="B21" s="6" t="s">
        <v>34</v>
      </c>
      <c r="C21" s="56"/>
      <c r="D21" s="56"/>
      <c r="E21" s="56"/>
      <c r="F21" s="56"/>
      <c r="G21" s="57">
        <v>49367</v>
      </c>
      <c r="H21" s="56">
        <v>14840</v>
      </c>
      <c r="I21" s="56">
        <v>15599</v>
      </c>
      <c r="J21" s="56">
        <v>14311</v>
      </c>
      <c r="K21" s="56">
        <v>15963</v>
      </c>
      <c r="L21" s="57">
        <f>SUM(H21:K21)</f>
        <v>60713</v>
      </c>
      <c r="M21" s="56">
        <v>16970</v>
      </c>
      <c r="N21" s="56">
        <v>16940</v>
      </c>
      <c r="O21" s="56">
        <v>20469</v>
      </c>
      <c r="P21" s="56">
        <v>31318</v>
      </c>
      <c r="Q21" s="57">
        <f>SUM(M21:P21)</f>
        <v>85697</v>
      </c>
      <c r="R21" s="56">
        <f>'Income Statement'!N16</f>
        <v>23722</v>
      </c>
      <c r="S21" s="56">
        <f>'Income Statement'!O16</f>
        <v>26445</v>
      </c>
      <c r="T21" s="56">
        <f>'Income Statement'!P16</f>
        <v>27403</v>
      </c>
      <c r="U21" s="56">
        <f>'Income Statement'!Q16</f>
        <v>28411</v>
      </c>
      <c r="V21" s="57">
        <f>SUM(R21:U21)</f>
        <v>105981</v>
      </c>
      <c r="W21" s="56">
        <f>'Income Statement'!S16</f>
        <v>26989</v>
      </c>
      <c r="X21" s="56">
        <f>'Income Statement'!T16</f>
        <v>31035</v>
      </c>
      <c r="Y21" s="56">
        <f>'Income Statement'!U16</f>
        <v>30608</v>
      </c>
      <c r="Z21" s="56">
        <f>'Income Statement'!V16</f>
        <v>46479</v>
      </c>
      <c r="AA21" s="57">
        <f>SUM(W21:Z21)</f>
        <v>135111</v>
      </c>
      <c r="AB21" s="56">
        <f>'Income Statement'!X16</f>
        <v>34776</v>
      </c>
      <c r="AC21" s="56">
        <f>'Income Statement'!Y16</f>
        <v>35788</v>
      </c>
      <c r="AD21" s="56">
        <f>'Income Statement'!Z16</f>
        <v>41870</v>
      </c>
      <c r="AE21" s="56">
        <f>'Income Statement'!AA16</f>
        <v>45501</v>
      </c>
      <c r="AF21" s="57">
        <f>SUM(AB21:AE21)</f>
        <v>157935</v>
      </c>
      <c r="AG21" s="56">
        <f>'Income Statement'!AC16</f>
        <v>47661</v>
      </c>
    </row>
    <row r="22" spans="2:36" ht="15" customHeight="1" outlineLevel="1">
      <c r="B22" s="58" t="s">
        <v>0</v>
      </c>
      <c r="G22" s="59">
        <f t="shared" ref="G22:P22" si="9">G21/G$10</f>
        <v>0.28248455024032959</v>
      </c>
      <c r="H22" s="72">
        <f t="shared" si="9"/>
        <v>0.31738563209786769</v>
      </c>
      <c r="I22" s="72">
        <f t="shared" si="9"/>
        <v>0.28880084424120117</v>
      </c>
      <c r="J22" s="72">
        <f t="shared" si="9"/>
        <v>0.24206288797550785</v>
      </c>
      <c r="K22" s="72">
        <f t="shared" si="9"/>
        <v>0.26512207274539112</v>
      </c>
      <c r="L22" s="59">
        <f t="shared" si="9"/>
        <v>0.27584154547230588</v>
      </c>
      <c r="M22" s="72">
        <f t="shared" si="9"/>
        <v>0.27164604376430662</v>
      </c>
      <c r="N22" s="72">
        <f t="shared" si="9"/>
        <v>0.26137135098438563</v>
      </c>
      <c r="O22" s="72">
        <f t="shared" si="9"/>
        <v>0.25579535371964857</v>
      </c>
      <c r="P22" s="72">
        <f t="shared" si="9"/>
        <v>0.39989274222381122</v>
      </c>
      <c r="Q22" s="59">
        <f>Q21/Q$10</f>
        <v>0.30003851270919402</v>
      </c>
      <c r="R22" s="72">
        <f t="shared" ref="R22:S22" si="10">R21/R$10</f>
        <v>0.28750106046466534</v>
      </c>
      <c r="S22" s="72">
        <f t="shared" si="10"/>
        <v>0.29336720544024497</v>
      </c>
      <c r="T22" s="72">
        <f t="shared" ref="T22:U22" si="11">T21/T$10</f>
        <v>0.26808652181144038</v>
      </c>
      <c r="U22" s="72">
        <f t="shared" si="11"/>
        <v>0.26878648262551913</v>
      </c>
      <c r="V22" s="59">
        <f>V21/V$10</f>
        <v>0.27847818546818998</v>
      </c>
      <c r="W22" s="72">
        <f t="shared" ref="W22:X22" si="12">W21/W$10</f>
        <v>0.27141808381186078</v>
      </c>
      <c r="X22" s="72">
        <f t="shared" si="12"/>
        <v>0.29652879296012841</v>
      </c>
      <c r="Y22" s="72">
        <f t="shared" ref="Y22:Z22" si="13">Y21/Y$10</f>
        <v>0.25559276176797241</v>
      </c>
      <c r="Z22" s="72">
        <f t="shared" si="13"/>
        <v>0.39000629326620517</v>
      </c>
      <c r="AA22" s="59">
        <f>AA21/AA$10</f>
        <v>0.30497307155787695</v>
      </c>
      <c r="AB22" s="72">
        <f t="shared" ref="AB22:AC22" si="14">AB21/AB$10</f>
        <v>0.29214200507401</v>
      </c>
      <c r="AC22" s="72">
        <f t="shared" si="14"/>
        <v>0.28115327205593527</v>
      </c>
      <c r="AD22" s="72">
        <f t="shared" ref="AD22:AE22" si="15">AD21/AD$10</f>
        <v>0.29778669170151634</v>
      </c>
      <c r="AE22" s="72">
        <f t="shared" si="15"/>
        <v>0.32105133180455109</v>
      </c>
      <c r="AF22" s="59">
        <f>AF21/AF$10</f>
        <v>0.2987475811348379</v>
      </c>
      <c r="AG22" s="72">
        <f t="shared" ref="AG22" si="16">AG21/AG$10</f>
        <v>0.3350674549889977</v>
      </c>
    </row>
    <row r="23" spans="2:36" ht="15" customHeight="1" outlineLevel="1">
      <c r="B23" s="61" t="s">
        <v>1</v>
      </c>
      <c r="G23" s="62"/>
      <c r="L23" s="62"/>
      <c r="Q23" s="62"/>
      <c r="V23" s="62"/>
      <c r="AA23" s="62"/>
      <c r="AF23" s="62"/>
    </row>
    <row r="24" spans="2:36" ht="15" customHeight="1" outlineLevel="1">
      <c r="B24" s="66" t="s">
        <v>9</v>
      </c>
      <c r="C24" s="13"/>
      <c r="D24" s="13"/>
      <c r="E24" s="13"/>
      <c r="F24" s="13"/>
      <c r="G24" s="67">
        <v>10513.23739</v>
      </c>
      <c r="H24" s="73">
        <v>3693</v>
      </c>
      <c r="I24" s="74">
        <v>3636</v>
      </c>
      <c r="J24" s="74">
        <v>3177</v>
      </c>
      <c r="K24" s="75">
        <v>5138</v>
      </c>
      <c r="L24" s="67">
        <f>SUM(H24:K24)</f>
        <v>15644</v>
      </c>
      <c r="M24" s="76">
        <v>4342</v>
      </c>
      <c r="N24" s="76">
        <v>3745.0765100000003</v>
      </c>
      <c r="O24" s="76">
        <v>5945</v>
      </c>
      <c r="P24" s="76">
        <v>14193</v>
      </c>
      <c r="Q24" s="67">
        <f>SUM(M24:P24)</f>
        <v>28225.076509999999</v>
      </c>
      <c r="R24" s="76">
        <v>4451</v>
      </c>
      <c r="S24" s="76">
        <v>6346</v>
      </c>
      <c r="T24" s="76">
        <v>6462</v>
      </c>
      <c r="U24" s="76">
        <v>6001</v>
      </c>
      <c r="V24" s="67">
        <f>SUM(R24:U24)</f>
        <v>23260</v>
      </c>
      <c r="W24" s="76">
        <v>5886</v>
      </c>
      <c r="X24" s="76">
        <v>7713</v>
      </c>
      <c r="Y24" s="76">
        <v>7376</v>
      </c>
      <c r="Z24" s="76">
        <v>17985</v>
      </c>
      <c r="AA24" s="67">
        <f>SUM(W24:Z24)</f>
        <v>38960</v>
      </c>
      <c r="AB24" s="76">
        <v>5348</v>
      </c>
      <c r="AC24" s="76">
        <v>7184</v>
      </c>
      <c r="AD24" s="76">
        <v>9264</v>
      </c>
      <c r="AE24" s="76">
        <v>10316</v>
      </c>
      <c r="AF24" s="67">
        <f>SUM(AB24:AE24)</f>
        <v>32112</v>
      </c>
      <c r="AG24" s="76">
        <v>11656</v>
      </c>
    </row>
    <row r="25" spans="2:36" s="78" customFormat="1" ht="15" customHeight="1" outlineLevel="1">
      <c r="B25" s="53" t="s">
        <v>3</v>
      </c>
      <c r="C25" s="69"/>
      <c r="D25" s="69"/>
      <c r="E25" s="69"/>
      <c r="F25" s="69"/>
      <c r="G25" s="70">
        <f>G21-G24</f>
        <v>38853.762609999998</v>
      </c>
      <c r="H25" s="54">
        <v>11147</v>
      </c>
      <c r="I25" s="54">
        <v>11963.10694</v>
      </c>
      <c r="J25" s="54">
        <v>11134.19008</v>
      </c>
      <c r="K25" s="54">
        <v>10825.166950000001</v>
      </c>
      <c r="L25" s="70">
        <f>SUM(H25:K25)</f>
        <v>45069.463969999997</v>
      </c>
      <c r="M25" s="54">
        <v>12629</v>
      </c>
      <c r="N25" s="54">
        <v>13194.923489999999</v>
      </c>
      <c r="O25" s="54">
        <v>14524</v>
      </c>
      <c r="P25" s="54">
        <f>P21-P24</f>
        <v>17125</v>
      </c>
      <c r="Q25" s="70">
        <f>SUM(M25:P25)</f>
        <v>57472.923490000001</v>
      </c>
      <c r="R25" s="54">
        <f>R21-R24</f>
        <v>19271</v>
      </c>
      <c r="S25" s="54">
        <f>S21-S24</f>
        <v>20099</v>
      </c>
      <c r="T25" s="54">
        <f>T21-T24</f>
        <v>20941</v>
      </c>
      <c r="U25" s="54">
        <f>U21-U24</f>
        <v>22410</v>
      </c>
      <c r="V25" s="70">
        <f>SUM(R25:U25)</f>
        <v>82721</v>
      </c>
      <c r="W25" s="54">
        <f>W21-W24</f>
        <v>21103</v>
      </c>
      <c r="X25" s="54">
        <f>X21-X24</f>
        <v>23322</v>
      </c>
      <c r="Y25" s="54">
        <f>Y21-Y24</f>
        <v>23232</v>
      </c>
      <c r="Z25" s="54">
        <f>Z21-Z24</f>
        <v>28494</v>
      </c>
      <c r="AA25" s="70">
        <f>SUM(W25:Z25)</f>
        <v>96151</v>
      </c>
      <c r="AB25" s="54">
        <f>AB21-AB24</f>
        <v>29428</v>
      </c>
      <c r="AC25" s="54">
        <f>AC21-AC24</f>
        <v>28604</v>
      </c>
      <c r="AD25" s="54">
        <f>AD21-AD24</f>
        <v>32606</v>
      </c>
      <c r="AE25" s="54">
        <f>AE21-AE24</f>
        <v>35185</v>
      </c>
      <c r="AF25" s="70">
        <f>SUM(AB25:AE25)</f>
        <v>125823</v>
      </c>
      <c r="AG25" s="54">
        <f>AG21-AG24</f>
        <v>36005</v>
      </c>
      <c r="AI25" s="303"/>
    </row>
    <row r="26" spans="2:36" ht="15" customHeight="1" outlineLevel="1">
      <c r="B26" s="58" t="s">
        <v>87</v>
      </c>
      <c r="G26" s="59">
        <v>0.23788367894050857</v>
      </c>
      <c r="H26" s="60">
        <v>0.23840863785101701</v>
      </c>
      <c r="I26" s="60">
        <v>0.22148939958898783</v>
      </c>
      <c r="J26" s="60">
        <v>0.18833223524635917</v>
      </c>
      <c r="K26" s="60">
        <v>0.17979350523168908</v>
      </c>
      <c r="L26" s="59">
        <v>0.20477115801382095</v>
      </c>
      <c r="M26" s="60">
        <v>0.20214567415280688</v>
      </c>
      <c r="N26" s="60">
        <v>0.20358766108128123</v>
      </c>
      <c r="O26" s="60">
        <v>0.18150235563164668</v>
      </c>
      <c r="P26" s="60">
        <f>P25/$P$10</f>
        <v>0.21866540681342256</v>
      </c>
      <c r="Q26" s="59">
        <f t="shared" ref="Q26:AA26" si="17">Q25/Q10</f>
        <v>0.20122163535466706</v>
      </c>
      <c r="R26" s="60">
        <f t="shared" si="17"/>
        <v>0.23355673788949352</v>
      </c>
      <c r="S26" s="60">
        <f t="shared" si="17"/>
        <v>0.22296795092242325</v>
      </c>
      <c r="T26" s="60">
        <f t="shared" si="17"/>
        <v>0.20486807478208127</v>
      </c>
      <c r="U26" s="60">
        <f t="shared" si="17"/>
        <v>0.21201313138002478</v>
      </c>
      <c r="V26" s="59">
        <f t="shared" si="17"/>
        <v>0.2173596586191312</v>
      </c>
      <c r="W26" s="60">
        <f t="shared" si="17"/>
        <v>0.21222482576907992</v>
      </c>
      <c r="X26" s="60">
        <f t="shared" si="17"/>
        <v>0.22283372029695875</v>
      </c>
      <c r="Y26" s="60">
        <f t="shared" si="17"/>
        <v>0.19399931525723782</v>
      </c>
      <c r="Z26" s="60">
        <f t="shared" si="17"/>
        <v>0.2390937696664569</v>
      </c>
      <c r="AA26" s="59">
        <f t="shared" si="17"/>
        <v>0.21703240893311002</v>
      </c>
      <c r="AB26" s="60">
        <f t="shared" ref="AB26:AC26" si="18">AB25/AB10</f>
        <v>0.24721517498613887</v>
      </c>
      <c r="AC26" s="60">
        <f t="shared" si="18"/>
        <v>0.22471521722052007</v>
      </c>
      <c r="AD26" s="60">
        <f t="shared" ref="AD26:AF26" si="19">AD25/AD10</f>
        <v>0.23189951921709198</v>
      </c>
      <c r="AE26" s="60">
        <f t="shared" si="19"/>
        <v>0.2482624801552302</v>
      </c>
      <c r="AF26" s="59">
        <f t="shared" si="19"/>
        <v>0.23800498243662715</v>
      </c>
      <c r="AG26" s="60">
        <f t="shared" ref="AG26" si="20">AG25/AG10</f>
        <v>0.25312317653592797</v>
      </c>
    </row>
    <row r="27" spans="2:36" ht="15" customHeight="1" outlineLevel="1">
      <c r="G27" s="62"/>
      <c r="L27" s="62"/>
      <c r="Q27" s="62"/>
      <c r="V27" s="62"/>
      <c r="AA27" s="62"/>
      <c r="AF27" s="62"/>
    </row>
    <row r="28" spans="2:36" s="9" customFormat="1" ht="15" customHeight="1" outlineLevel="1">
      <c r="B28" s="10" t="s">
        <v>35</v>
      </c>
      <c r="C28" s="56"/>
      <c r="D28" s="56"/>
      <c r="E28" s="56"/>
      <c r="F28" s="56"/>
      <c r="G28" s="57">
        <v>59258</v>
      </c>
      <c r="H28" s="56">
        <v>24091</v>
      </c>
      <c r="I28" s="56">
        <v>25981</v>
      </c>
      <c r="J28" s="56">
        <v>27832</v>
      </c>
      <c r="K28" s="56">
        <v>30735</v>
      </c>
      <c r="L28" s="57">
        <f>SUM(H28:K28)</f>
        <v>108639</v>
      </c>
      <c r="M28" s="56">
        <v>33323</v>
      </c>
      <c r="N28" s="56">
        <v>35940</v>
      </c>
      <c r="O28" s="56">
        <v>40054</v>
      </c>
      <c r="P28" s="56">
        <v>49223</v>
      </c>
      <c r="Q28" s="57">
        <f>SUM(M28:P28)</f>
        <v>158540</v>
      </c>
      <c r="R28" s="56">
        <f>'Income Statement'!N17</f>
        <v>43144</v>
      </c>
      <c r="S28" s="56">
        <f>'Income Statement'!O17</f>
        <v>45204</v>
      </c>
      <c r="T28" s="56">
        <f>'Income Statement'!P17</f>
        <v>51993</v>
      </c>
      <c r="U28" s="56">
        <f>'Income Statement'!Q17</f>
        <v>48564</v>
      </c>
      <c r="V28" s="57">
        <f>SUM(R28:U28)</f>
        <v>188905</v>
      </c>
      <c r="W28" s="56">
        <f>'Income Statement'!S17</f>
        <v>38627</v>
      </c>
      <c r="X28" s="56">
        <f>'Income Statement'!T17</f>
        <v>41705</v>
      </c>
      <c r="Y28" s="56">
        <f>'Income Statement'!U17</f>
        <v>43904</v>
      </c>
      <c r="Z28" s="56">
        <f>'Income Statement'!V17</f>
        <v>53307</v>
      </c>
      <c r="AA28" s="57">
        <f>SUM(W28:Z28)</f>
        <v>177543</v>
      </c>
      <c r="AB28" s="56">
        <f>'Income Statement'!X17</f>
        <v>41979</v>
      </c>
      <c r="AC28" s="56">
        <f>'Income Statement'!Y17</f>
        <v>39509</v>
      </c>
      <c r="AD28" s="56">
        <f>'Income Statement'!Z17</f>
        <v>46324</v>
      </c>
      <c r="AE28" s="56">
        <f>'Income Statement'!AA17</f>
        <v>54951</v>
      </c>
      <c r="AF28" s="57">
        <f>SUM(AB28:AE28)</f>
        <v>182763</v>
      </c>
      <c r="AG28" s="56">
        <f>'Income Statement'!AC17</f>
        <v>51280</v>
      </c>
      <c r="AI28" s="303"/>
      <c r="AJ28" s="78"/>
    </row>
    <row r="29" spans="2:36" s="9" customFormat="1" ht="15" customHeight="1" outlineLevel="1">
      <c r="B29" s="79" t="s">
        <v>0</v>
      </c>
      <c r="C29" s="10"/>
      <c r="D29" s="10"/>
      <c r="E29" s="10"/>
      <c r="F29" s="10"/>
      <c r="G29" s="59">
        <f t="shared" ref="G29" si="21">G28/G$10</f>
        <v>0.33908216983291373</v>
      </c>
      <c r="H29" s="72">
        <f t="shared" ref="H29" si="22">H28/H$10</f>
        <v>0.51523836003165302</v>
      </c>
      <c r="I29" s="72">
        <f t="shared" ref="I29" si="23">I28/I$10</f>
        <v>0.48101383000388798</v>
      </c>
      <c r="J29" s="72">
        <f t="shared" ref="J29" si="24">J28/J$10</f>
        <v>0.47076334974036299</v>
      </c>
      <c r="K29" s="72">
        <f t="shared" ref="K29" si="25">K28/K$10</f>
        <v>0.51046337817638265</v>
      </c>
      <c r="L29" s="59">
        <f t="shared" ref="L29" si="26">L28/L$10</f>
        <v>0.493587035043003</v>
      </c>
      <c r="M29" s="72">
        <f t="shared" ref="M29" si="27">M28/M$10</f>
        <v>0.5334155047942245</v>
      </c>
      <c r="N29" s="72">
        <f t="shared" ref="N29" si="28">N28/N$10</f>
        <v>0.55452693945565634</v>
      </c>
      <c r="O29" s="72">
        <f t="shared" ref="O29" si="29">O28/O$10</f>
        <v>0.50054360730308289</v>
      </c>
      <c r="P29" s="72">
        <f t="shared" ref="P29" si="30">P28/P$10</f>
        <v>0.62851779968333421</v>
      </c>
      <c r="Q29" s="59">
        <f>Q28/Q$10</f>
        <v>0.55507317414746871</v>
      </c>
      <c r="R29" s="72">
        <f t="shared" ref="R29:S29" si="31">R28/R$10</f>
        <v>0.52288785737659216</v>
      </c>
      <c r="S29" s="72">
        <f t="shared" si="31"/>
        <v>0.50146988673552018</v>
      </c>
      <c r="T29" s="72">
        <f t="shared" ref="T29:U29" si="32">T28/T$10</f>
        <v>0.50865315945488521</v>
      </c>
      <c r="U29" s="72">
        <f t="shared" si="32"/>
        <v>0.45944693049261598</v>
      </c>
      <c r="V29" s="59">
        <f>V28/V$10</f>
        <v>0.49637125169481727</v>
      </c>
      <c r="W29" s="72">
        <f t="shared" ref="W29:X29" si="33">W28/W$10</f>
        <v>0.38845701298309482</v>
      </c>
      <c r="X29" s="72">
        <f t="shared" si="33"/>
        <v>0.39847698760760936</v>
      </c>
      <c r="Y29" s="72">
        <f t="shared" ref="Y29:Z29" si="34">Y28/Y$10</f>
        <v>0.36662129549990397</v>
      </c>
      <c r="Z29" s="72">
        <f t="shared" si="34"/>
        <v>0.44730018879798616</v>
      </c>
      <c r="AA29" s="59">
        <f>AA28/AA$10</f>
        <v>0.40075074600587773</v>
      </c>
      <c r="AB29" s="72">
        <f t="shared" ref="AB29:AC29" si="35">AB28/AB$10</f>
        <v>0.35265209428921857</v>
      </c>
      <c r="AC29" s="72">
        <f t="shared" si="35"/>
        <v>0.31038573336475767</v>
      </c>
      <c r="AD29" s="72">
        <f t="shared" ref="AD29:AE29" si="36">AD28/AD$10</f>
        <v>0.32946431111490426</v>
      </c>
      <c r="AE29" s="72">
        <f t="shared" si="36"/>
        <v>0.38772975833480333</v>
      </c>
      <c r="AF29" s="59">
        <f>AF28/AF$10</f>
        <v>0.34571186988917202</v>
      </c>
      <c r="AG29" s="72">
        <f t="shared" ref="AG29" si="37">AG28/AG$10</f>
        <v>0.36050983176676532</v>
      </c>
    </row>
    <row r="30" spans="2:36" s="9" customFormat="1" ht="15" customHeight="1" outlineLevel="1">
      <c r="B30" s="80" t="s">
        <v>1</v>
      </c>
      <c r="C30" s="10"/>
      <c r="D30" s="10"/>
      <c r="E30" s="10"/>
      <c r="F30" s="10"/>
      <c r="G30" s="62"/>
      <c r="H30" s="10"/>
      <c r="I30" s="10"/>
      <c r="J30" s="10"/>
      <c r="K30" s="10"/>
      <c r="L30" s="62"/>
      <c r="M30" s="10"/>
      <c r="N30" s="10"/>
      <c r="O30" s="10"/>
      <c r="P30" s="10"/>
      <c r="Q30" s="62"/>
      <c r="R30" s="10"/>
      <c r="S30" s="10"/>
      <c r="T30" s="10"/>
      <c r="U30" s="10"/>
      <c r="V30" s="62"/>
      <c r="W30" s="10"/>
      <c r="X30" s="10"/>
      <c r="Y30" s="10"/>
      <c r="Z30" s="10"/>
      <c r="AA30" s="62"/>
      <c r="AB30" s="10"/>
      <c r="AC30" s="10"/>
      <c r="AD30" s="10"/>
      <c r="AE30" s="10"/>
      <c r="AF30" s="62"/>
      <c r="AG30" s="10"/>
    </row>
    <row r="31" spans="2:36" s="9" customFormat="1" ht="15" customHeight="1" outlineLevel="1">
      <c r="B31" s="66" t="s">
        <v>9</v>
      </c>
      <c r="C31" s="13"/>
      <c r="D31" s="13"/>
      <c r="E31" s="13"/>
      <c r="F31" s="13"/>
      <c r="G31" s="67">
        <v>7493</v>
      </c>
      <c r="H31" s="76">
        <v>5454.3092300000017</v>
      </c>
      <c r="I31" s="76">
        <v>5729.9360000000042</v>
      </c>
      <c r="J31" s="76">
        <v>6250.7235899999996</v>
      </c>
      <c r="K31" s="76">
        <v>5946.3980000000001</v>
      </c>
      <c r="L31" s="67">
        <f>SUM(H31:K31)</f>
        <v>23381.366820000007</v>
      </c>
      <c r="M31" s="76">
        <v>9920.1499000000003</v>
      </c>
      <c r="N31" s="76">
        <v>9854.063199999995</v>
      </c>
      <c r="O31" s="76">
        <v>9460</v>
      </c>
      <c r="P31" s="76">
        <v>14736</v>
      </c>
      <c r="Q31" s="67">
        <f>SUM(M31:P31)</f>
        <v>43970.213099999994</v>
      </c>
      <c r="R31" s="76">
        <v>8920</v>
      </c>
      <c r="S31" s="76">
        <v>9758</v>
      </c>
      <c r="T31" s="76">
        <v>15670</v>
      </c>
      <c r="U31" s="76">
        <v>3678</v>
      </c>
      <c r="V31" s="67">
        <f>SUM(R31:U31)</f>
        <v>38026</v>
      </c>
      <c r="W31" s="76">
        <v>7123</v>
      </c>
      <c r="X31" s="76">
        <v>9233</v>
      </c>
      <c r="Y31" s="76">
        <v>9212</v>
      </c>
      <c r="Z31" s="76">
        <v>14833</v>
      </c>
      <c r="AA31" s="67">
        <f>SUM(W31:Z31)</f>
        <v>40401</v>
      </c>
      <c r="AB31" s="76">
        <v>6793</v>
      </c>
      <c r="AC31" s="76">
        <v>6749</v>
      </c>
      <c r="AD31" s="76">
        <v>7329</v>
      </c>
      <c r="AE31" s="76">
        <v>7715</v>
      </c>
      <c r="AF31" s="67">
        <f>SUM(AB31:AE31)</f>
        <v>28586</v>
      </c>
      <c r="AG31" s="76">
        <v>5884</v>
      </c>
    </row>
    <row r="32" spans="2:36" s="84" customFormat="1" ht="15" customHeight="1" outlineLevel="1">
      <c r="B32" s="81" t="s">
        <v>4</v>
      </c>
      <c r="C32" s="82"/>
      <c r="D32" s="82"/>
      <c r="E32" s="82"/>
      <c r="F32" s="82"/>
      <c r="G32" s="55">
        <f>G28-G31</f>
        <v>51765</v>
      </c>
      <c r="H32" s="82">
        <v>18636.690769999997</v>
      </c>
      <c r="I32" s="82">
        <v>20251.063999999995</v>
      </c>
      <c r="J32" s="82">
        <v>21581.276409999999</v>
      </c>
      <c r="K32" s="82">
        <v>24788.601999999999</v>
      </c>
      <c r="L32" s="55">
        <f>SUM(H32:K32)</f>
        <v>85257.63317999999</v>
      </c>
      <c r="M32" s="82">
        <v>23402.8501</v>
      </c>
      <c r="N32" s="82">
        <v>26085.936800000003</v>
      </c>
      <c r="O32" s="82">
        <v>30594</v>
      </c>
      <c r="P32" s="82">
        <f>P28-P31</f>
        <v>34487</v>
      </c>
      <c r="Q32" s="55">
        <f>SUM(M32:P32)</f>
        <v>114569.78690000001</v>
      </c>
      <c r="R32" s="82">
        <f>R28-R31</f>
        <v>34224</v>
      </c>
      <c r="S32" s="82">
        <f>S28-S31</f>
        <v>35446</v>
      </c>
      <c r="T32" s="82">
        <f>T28-T31</f>
        <v>36323</v>
      </c>
      <c r="U32" s="82">
        <f>U28-U31</f>
        <v>44886</v>
      </c>
      <c r="V32" s="55">
        <f>SUM(R32:U32)</f>
        <v>150879</v>
      </c>
      <c r="W32" s="82">
        <f>W28-W31</f>
        <v>31504</v>
      </c>
      <c r="X32" s="82">
        <f>X28-X31</f>
        <v>32472</v>
      </c>
      <c r="Y32" s="82">
        <f>Y28-Y31</f>
        <v>34692</v>
      </c>
      <c r="Z32" s="82">
        <f>Z28-Z31</f>
        <v>38474</v>
      </c>
      <c r="AA32" s="55">
        <f>SUM(W32:Z32)</f>
        <v>137142</v>
      </c>
      <c r="AB32" s="82">
        <f>AB28-AB31</f>
        <v>35186</v>
      </c>
      <c r="AC32" s="82">
        <f>AC28-AC31</f>
        <v>32760</v>
      </c>
      <c r="AD32" s="82">
        <f>AD28-AD31</f>
        <v>38995</v>
      </c>
      <c r="AE32" s="82">
        <f>AE28-AE31</f>
        <v>47236</v>
      </c>
      <c r="AF32" s="55">
        <f>SUM(AB32:AE32)</f>
        <v>154177</v>
      </c>
      <c r="AG32" s="82">
        <f>AG28-AG31</f>
        <v>45396</v>
      </c>
      <c r="AI32" s="303"/>
      <c r="AJ32" s="78"/>
    </row>
    <row r="33" spans="2:36" s="9" customFormat="1" ht="15" customHeight="1" outlineLevel="1">
      <c r="B33" s="79" t="s">
        <v>87</v>
      </c>
      <c r="C33" s="10"/>
      <c r="D33" s="10"/>
      <c r="E33" s="10"/>
      <c r="F33" s="10"/>
      <c r="G33" s="59">
        <f t="shared" ref="G33" si="38">G32/G$10</f>
        <v>0.29620622568093385</v>
      </c>
      <c r="H33" s="72">
        <f t="shared" ref="H33" si="39">H32/H$10</f>
        <v>0.39858611052890469</v>
      </c>
      <c r="I33" s="72">
        <f t="shared" ref="I33" si="40">I32/I$10</f>
        <v>0.37492944291189151</v>
      </c>
      <c r="J33" s="72">
        <f t="shared" ref="J33" si="41">J32/J$10</f>
        <v>0.36503571336750051</v>
      </c>
      <c r="K33" s="72">
        <f t="shared" ref="K33" si="42">K32/K$10</f>
        <v>0.41170240823783422</v>
      </c>
      <c r="L33" s="59">
        <f t="shared" ref="L33" si="43">L32/L$10</f>
        <v>0.38735686425777255</v>
      </c>
      <c r="M33" s="72">
        <f t="shared" ref="M33" si="44">M32/M$10</f>
        <v>0.37461942501320611</v>
      </c>
      <c r="N33" s="72">
        <f t="shared" ref="N33" si="45">N32/N$10</f>
        <v>0.40248621860149358</v>
      </c>
      <c r="O33" s="72">
        <f t="shared" ref="O33" si="46">O32/O$10</f>
        <v>0.38232463978205722</v>
      </c>
      <c r="P33" s="72">
        <f t="shared" ref="P33" si="47">P32/P$10</f>
        <v>0.44035701516931408</v>
      </c>
      <c r="Q33" s="59">
        <f>Q32/Q$10</f>
        <v>0.40112662593655907</v>
      </c>
      <c r="R33" s="72">
        <f t="shared" ref="R33:S33" si="48">R32/R$10</f>
        <v>0.41478105949509764</v>
      </c>
      <c r="S33" s="72">
        <f t="shared" si="48"/>
        <v>0.39321966209245313</v>
      </c>
      <c r="T33" s="72">
        <f t="shared" ref="T33:U33" si="49">T32/T$10</f>
        <v>0.35535184949665904</v>
      </c>
      <c r="U33" s="72">
        <f t="shared" si="49"/>
        <v>0.42465066555661724</v>
      </c>
      <c r="V33" s="59">
        <f>V32/V$10</f>
        <v>0.39645323355370338</v>
      </c>
      <c r="W33" s="72">
        <f t="shared" ref="W33:X33" si="50">W32/W$10</f>
        <v>0.31682371752969218</v>
      </c>
      <c r="X33" s="72">
        <f t="shared" si="50"/>
        <v>0.31025883566944706</v>
      </c>
      <c r="Y33" s="72">
        <f t="shared" ref="Y33:Z33" si="51">Y32/Y$10</f>
        <v>0.28969629153340626</v>
      </c>
      <c r="Z33" s="72">
        <f t="shared" si="51"/>
        <v>0.32283616530312564</v>
      </c>
      <c r="AA33" s="59">
        <f>AA32/AA$10</f>
        <v>0.30955745261000484</v>
      </c>
      <c r="AB33" s="72">
        <f t="shared" ref="AB33:AC33" si="52">AB32/AB$10</f>
        <v>0.29558628337169646</v>
      </c>
      <c r="AC33" s="72">
        <f t="shared" si="52"/>
        <v>0.25736507188310159</v>
      </c>
      <c r="AD33" s="72">
        <f t="shared" ref="AD33:AE33" si="53">AD32/AD$10</f>
        <v>0.27733919376404653</v>
      </c>
      <c r="AE33" s="72">
        <f t="shared" si="53"/>
        <v>0.33329334979714237</v>
      </c>
      <c r="AF33" s="59">
        <f>AF32/AF$10</f>
        <v>0.29163900222639633</v>
      </c>
      <c r="AG33" s="72">
        <f t="shared" ref="AG33" si="54">AG32/AG$10</f>
        <v>0.31914400005624177</v>
      </c>
    </row>
    <row r="34" spans="2:36" s="9" customFormat="1" ht="15" customHeight="1" outlineLevel="1">
      <c r="B34" s="79"/>
      <c r="C34" s="10"/>
      <c r="D34" s="10"/>
      <c r="E34" s="10"/>
      <c r="F34" s="10"/>
      <c r="G34" s="59"/>
      <c r="H34" s="72"/>
      <c r="I34" s="72"/>
      <c r="J34" s="72"/>
      <c r="K34" s="72"/>
      <c r="L34" s="59"/>
      <c r="M34" s="72"/>
      <c r="N34" s="72"/>
      <c r="O34" s="72"/>
      <c r="P34" s="72"/>
      <c r="Q34" s="59"/>
      <c r="R34" s="72"/>
      <c r="S34" s="72"/>
      <c r="T34" s="72"/>
      <c r="U34" s="72"/>
      <c r="V34" s="59"/>
      <c r="W34" s="72"/>
      <c r="X34" s="72"/>
      <c r="Y34" s="72"/>
      <c r="Z34" s="72"/>
      <c r="AA34" s="59"/>
      <c r="AB34" s="72"/>
      <c r="AC34" s="72"/>
      <c r="AD34" s="72"/>
      <c r="AE34" s="72"/>
      <c r="AF34" s="59"/>
      <c r="AG34" s="72"/>
    </row>
    <row r="35" spans="2:36" s="9" customFormat="1" ht="15" customHeight="1" outlineLevel="1">
      <c r="B35" s="10" t="s">
        <v>36</v>
      </c>
      <c r="C35" s="56"/>
      <c r="D35" s="56"/>
      <c r="E35" s="56"/>
      <c r="F35" s="56"/>
      <c r="G35" s="57">
        <v>92898.309739999953</v>
      </c>
      <c r="H35" s="56">
        <v>23587</v>
      </c>
      <c r="I35" s="56">
        <v>23724</v>
      </c>
      <c r="J35" s="56">
        <v>20929</v>
      </c>
      <c r="K35" s="56">
        <v>16914</v>
      </c>
      <c r="L35" s="57">
        <f>SUM(H35:K35)</f>
        <v>85154</v>
      </c>
      <c r="M35" s="56">
        <v>18125</v>
      </c>
      <c r="N35" s="56">
        <v>25176</v>
      </c>
      <c r="O35" s="56">
        <v>27828</v>
      </c>
      <c r="P35" s="56">
        <v>27749</v>
      </c>
      <c r="Q35" s="57">
        <f>SUM(M35:P35)</f>
        <v>98878</v>
      </c>
      <c r="R35" s="56">
        <f>'Income Statement'!N18</f>
        <v>25318</v>
      </c>
      <c r="S35" s="56">
        <f>'Income Statement'!O18</f>
        <v>27262</v>
      </c>
      <c r="T35" s="56">
        <f>'Income Statement'!P18</f>
        <v>26107</v>
      </c>
      <c r="U35" s="56">
        <f>'Income Statement'!Q18</f>
        <v>30216</v>
      </c>
      <c r="V35" s="57">
        <f>SUM(R35:U35)</f>
        <v>108903</v>
      </c>
      <c r="W35" s="56">
        <f>'Income Statement'!S18</f>
        <v>23368</v>
      </c>
      <c r="X35" s="56">
        <f>'Income Statement'!T18</f>
        <v>24495</v>
      </c>
      <c r="Y35" s="56">
        <f>'Income Statement'!U18</f>
        <v>23943</v>
      </c>
      <c r="Z35" s="56">
        <f>'Income Statement'!V18</f>
        <v>32395</v>
      </c>
      <c r="AA35" s="57">
        <f>SUM(W35:Z35)</f>
        <v>104201</v>
      </c>
      <c r="AB35" s="56">
        <f>'Income Statement'!X18</f>
        <v>24291</v>
      </c>
      <c r="AC35" s="56">
        <f>'Income Statement'!Y18</f>
        <v>23078</v>
      </c>
      <c r="AD35" s="56">
        <f>'Income Statement'!Z18</f>
        <v>27639</v>
      </c>
      <c r="AE35" s="56">
        <f>'Income Statement'!AA18</f>
        <v>29583</v>
      </c>
      <c r="AF35" s="57">
        <f>SUM(AB35:AE35)</f>
        <v>104591</v>
      </c>
      <c r="AG35" s="56">
        <f>'Income Statement'!AC18</f>
        <v>27144</v>
      </c>
      <c r="AI35" s="303"/>
      <c r="AJ35" s="78"/>
    </row>
    <row r="36" spans="2:36" s="9" customFormat="1" ht="15" customHeight="1" outlineLevel="1">
      <c r="B36" s="79" t="s">
        <v>0</v>
      </c>
      <c r="C36" s="10"/>
      <c r="D36" s="10"/>
      <c r="E36" s="10"/>
      <c r="F36" s="10"/>
      <c r="G36" s="59">
        <f t="shared" ref="G36" si="55">G35/G$10</f>
        <v>0.53157650343327967</v>
      </c>
      <c r="H36" s="72">
        <f t="shared" ref="H36" si="56">H35/H$10</f>
        <v>0.50445922535663112</v>
      </c>
      <c r="I36" s="72">
        <f t="shared" ref="I36" si="57">I35/I$10</f>
        <v>0.43922759335715478</v>
      </c>
      <c r="J36" s="72">
        <f t="shared" ref="J36" si="58">J35/J$10</f>
        <v>0.35400280780095061</v>
      </c>
      <c r="K36" s="72">
        <f t="shared" ref="K36" si="59">K35/K$10</f>
        <v>0.28091679123069258</v>
      </c>
      <c r="L36" s="59">
        <f t="shared" ref="L36" si="60">L35/L$10</f>
        <v>0.38688602050876642</v>
      </c>
      <c r="M36" s="72">
        <f t="shared" ref="M36" si="61">M35/M$10</f>
        <v>0.29013462246482369</v>
      </c>
      <c r="N36" s="72">
        <f t="shared" ref="N36" si="62">N35/N$10</f>
        <v>0.38844658396593224</v>
      </c>
      <c r="O36" s="72">
        <f t="shared" ref="O36" si="63">O35/O$10</f>
        <v>0.34775871333774883</v>
      </c>
      <c r="P36" s="72">
        <f t="shared" ref="P36" si="64">P35/P$10</f>
        <v>0.35432095612646203</v>
      </c>
      <c r="Q36" s="59">
        <f>Q35/Q$10</f>
        <v>0.34618724178979066</v>
      </c>
      <c r="R36" s="72">
        <f t="shared" ref="R36:S36" si="65">R35/R$10</f>
        <v>0.30684393596005383</v>
      </c>
      <c r="S36" s="72">
        <f t="shared" si="65"/>
        <v>0.30243058251888666</v>
      </c>
      <c r="T36" s="72">
        <f t="shared" ref="T36:U36" si="66">T35/T$10</f>
        <v>0.25540761321502292</v>
      </c>
      <c r="U36" s="72">
        <f t="shared" si="66"/>
        <v>0.28586295304680182</v>
      </c>
      <c r="V36" s="59">
        <f>V35/V$10</f>
        <v>0.2861561018677149</v>
      </c>
      <c r="W36" s="72">
        <f t="shared" ref="W36:X36" si="67">W35/W$10</f>
        <v>0.23500306726872291</v>
      </c>
      <c r="X36" s="72">
        <f t="shared" si="67"/>
        <v>0.23404133344798922</v>
      </c>
      <c r="Y36" s="72">
        <f t="shared" ref="Y36:Z36" si="68">Y35/Y$10</f>
        <v>0.19993653603667549</v>
      </c>
      <c r="Z36" s="72">
        <f t="shared" si="68"/>
        <v>0.27182714495489824</v>
      </c>
      <c r="AA36" s="59">
        <f>AA35/AA$10</f>
        <v>0.23520290005552721</v>
      </c>
      <c r="AB36" s="72">
        <f t="shared" ref="AB36:AC36" si="69">AB35/AB$10</f>
        <v>0.20406088811976009</v>
      </c>
      <c r="AC36" s="72">
        <f t="shared" si="69"/>
        <v>0.18130253751276612</v>
      </c>
      <c r="AD36" s="72">
        <f t="shared" ref="AD36:AE36" si="70">AD35/AD$10</f>
        <v>0.19657335495433984</v>
      </c>
      <c r="AE36" s="72">
        <f t="shared" si="70"/>
        <v>0.20873522667137062</v>
      </c>
      <c r="AF36" s="59">
        <f>AF35/AF$10</f>
        <v>0.19784283571389388</v>
      </c>
      <c r="AG36" s="72">
        <f t="shared" ref="AG36" si="71">AG35/AG$10</f>
        <v>0.19082837116764972</v>
      </c>
    </row>
    <row r="37" spans="2:36" s="9" customFormat="1" ht="15" customHeight="1" outlineLevel="1">
      <c r="B37" s="80" t="s">
        <v>1</v>
      </c>
      <c r="C37" s="10"/>
      <c r="D37" s="10"/>
      <c r="E37" s="10"/>
      <c r="F37" s="10"/>
      <c r="G37" s="62"/>
      <c r="H37" s="10"/>
      <c r="I37" s="10"/>
      <c r="J37" s="10"/>
      <c r="K37" s="10"/>
      <c r="L37" s="62"/>
      <c r="M37" s="10"/>
      <c r="N37" s="10"/>
      <c r="O37" s="10"/>
      <c r="P37" s="10"/>
      <c r="Q37" s="62"/>
      <c r="R37" s="10"/>
      <c r="S37" s="10"/>
      <c r="T37" s="10"/>
      <c r="U37" s="10"/>
      <c r="V37" s="62"/>
      <c r="W37" s="10"/>
      <c r="X37" s="10"/>
      <c r="Y37" s="10"/>
      <c r="Z37" s="10"/>
      <c r="AA37" s="62"/>
      <c r="AB37" s="10"/>
      <c r="AC37" s="10"/>
      <c r="AD37" s="10"/>
      <c r="AE37" s="10"/>
      <c r="AF37" s="62"/>
      <c r="AG37" s="10"/>
    </row>
    <row r="38" spans="2:36" s="9" customFormat="1" ht="15" customHeight="1" outlineLevel="1">
      <c r="B38" s="63" t="s">
        <v>9</v>
      </c>
      <c r="C38" s="10"/>
      <c r="D38" s="10"/>
      <c r="E38" s="10"/>
      <c r="F38" s="10"/>
      <c r="G38" s="62">
        <v>17470.519759999992</v>
      </c>
      <c r="H38" s="85">
        <v>2616</v>
      </c>
      <c r="I38" s="85">
        <v>3134.1282299999998</v>
      </c>
      <c r="J38" s="85">
        <v>3189.7097500000009</v>
      </c>
      <c r="K38" s="85">
        <v>2251.7584100000017</v>
      </c>
      <c r="L38" s="62">
        <f>SUM(H38:K38)</f>
        <v>11191.596390000002</v>
      </c>
      <c r="M38" s="85">
        <v>2824</v>
      </c>
      <c r="N38" s="85">
        <v>3286.4592899999998</v>
      </c>
      <c r="O38" s="85">
        <v>9625</v>
      </c>
      <c r="P38" s="85">
        <v>10083</v>
      </c>
      <c r="Q38" s="62">
        <f>SUM(M38:P38)</f>
        <v>25818.459289999999</v>
      </c>
      <c r="R38" s="85">
        <v>4504</v>
      </c>
      <c r="S38" s="85">
        <v>6190</v>
      </c>
      <c r="T38" s="85">
        <v>7135</v>
      </c>
      <c r="U38" s="85">
        <v>6563</v>
      </c>
      <c r="V38" s="62">
        <f>SUM(R38:U38)</f>
        <v>24392</v>
      </c>
      <c r="W38" s="85">
        <v>2701</v>
      </c>
      <c r="X38" s="85">
        <v>6345</v>
      </c>
      <c r="Y38" s="85">
        <v>6318</v>
      </c>
      <c r="Z38" s="85">
        <v>11682</v>
      </c>
      <c r="AA38" s="62">
        <f>SUM(W38:Z38)</f>
        <v>27046</v>
      </c>
      <c r="AB38" s="85">
        <v>5565</v>
      </c>
      <c r="AC38" s="85">
        <v>4340</v>
      </c>
      <c r="AD38" s="85">
        <v>5997</v>
      </c>
      <c r="AE38" s="85">
        <v>6546</v>
      </c>
      <c r="AF38" s="62">
        <f>SUM(AB38:AE38)</f>
        <v>22448</v>
      </c>
      <c r="AG38" s="85">
        <v>5522</v>
      </c>
    </row>
    <row r="39" spans="2:36" s="9" customFormat="1" ht="15" customHeight="1" outlineLevel="1">
      <c r="B39" s="63" t="s">
        <v>88</v>
      </c>
      <c r="C39" s="10"/>
      <c r="D39" s="10"/>
      <c r="E39" s="10"/>
      <c r="F39" s="10"/>
      <c r="G39" s="62">
        <v>8639.0499999999975</v>
      </c>
      <c r="H39" s="85">
        <f>H50</f>
        <v>7119</v>
      </c>
      <c r="I39" s="85">
        <f t="shared" ref="I39:K39" si="72">I50</f>
        <v>5453</v>
      </c>
      <c r="J39" s="85">
        <f t="shared" si="72"/>
        <v>5214.1000000000004</v>
      </c>
      <c r="K39" s="85">
        <f t="shared" si="72"/>
        <v>0</v>
      </c>
      <c r="L39" s="62">
        <f>SUM(H39:K39)</f>
        <v>17786.099999999999</v>
      </c>
      <c r="M39" s="85">
        <v>0</v>
      </c>
      <c r="N39" s="85">
        <v>2122</v>
      </c>
      <c r="O39" s="85">
        <v>700</v>
      </c>
      <c r="P39" s="85">
        <v>-705</v>
      </c>
      <c r="Q39" s="62">
        <f>SUM(M39:P39)</f>
        <v>2117</v>
      </c>
      <c r="R39" s="85">
        <v>0</v>
      </c>
      <c r="S39" s="85">
        <v>0</v>
      </c>
      <c r="T39" s="85">
        <v>0</v>
      </c>
      <c r="U39" s="85">
        <v>0</v>
      </c>
      <c r="V39" s="62">
        <f>SUM(R39:U39)</f>
        <v>0</v>
      </c>
      <c r="W39" s="85">
        <v>3605</v>
      </c>
      <c r="X39" s="85">
        <v>258</v>
      </c>
      <c r="Y39" s="85">
        <v>0</v>
      </c>
      <c r="Z39" s="85">
        <v>0</v>
      </c>
      <c r="AA39" s="62">
        <f>SUM(W39:Z39)</f>
        <v>3863</v>
      </c>
      <c r="AB39" s="85">
        <v>0</v>
      </c>
      <c r="AC39" s="85">
        <v>0</v>
      </c>
      <c r="AD39" s="85">
        <v>0</v>
      </c>
      <c r="AE39" s="85">
        <v>0</v>
      </c>
      <c r="AF39" s="62">
        <f>SUM(AB39:AE39)</f>
        <v>0</v>
      </c>
      <c r="AG39" s="85">
        <v>0</v>
      </c>
    </row>
    <row r="40" spans="2:36" s="9" customFormat="1" ht="15" customHeight="1" outlineLevel="1">
      <c r="B40" s="66" t="s">
        <v>24</v>
      </c>
      <c r="C40" s="13"/>
      <c r="D40" s="13"/>
      <c r="E40" s="13"/>
      <c r="F40" s="13"/>
      <c r="G40" s="67">
        <v>0</v>
      </c>
      <c r="H40" s="68">
        <v>0</v>
      </c>
      <c r="I40" s="68">
        <v>0</v>
      </c>
      <c r="J40" s="68">
        <v>0</v>
      </c>
      <c r="K40" s="68">
        <v>0</v>
      </c>
      <c r="L40" s="67">
        <v>0</v>
      </c>
      <c r="M40" s="68">
        <v>0</v>
      </c>
      <c r="N40" s="68">
        <v>0</v>
      </c>
      <c r="O40" s="68">
        <v>432</v>
      </c>
      <c r="P40" s="68">
        <v>408</v>
      </c>
      <c r="Q40" s="67">
        <f>SUM(M40:P40)</f>
        <v>840</v>
      </c>
      <c r="R40" s="68">
        <v>419</v>
      </c>
      <c r="S40" s="68">
        <v>418</v>
      </c>
      <c r="T40" s="68">
        <v>0</v>
      </c>
      <c r="U40" s="68">
        <v>0</v>
      </c>
      <c r="V40" s="67">
        <f>SUM(R40:U40)</f>
        <v>837</v>
      </c>
      <c r="W40" s="68">
        <v>0</v>
      </c>
      <c r="X40" s="68">
        <v>0</v>
      </c>
      <c r="Y40" s="68">
        <v>0</v>
      </c>
      <c r="Z40" s="68">
        <v>0</v>
      </c>
      <c r="AA40" s="67">
        <f>SUM(W40:Z40)</f>
        <v>0</v>
      </c>
      <c r="AB40" s="68">
        <v>0</v>
      </c>
      <c r="AC40" s="68">
        <v>0</v>
      </c>
      <c r="AD40" s="68">
        <v>0</v>
      </c>
      <c r="AE40" s="68">
        <v>0</v>
      </c>
      <c r="AF40" s="67">
        <f>SUM(AB40:AE40)</f>
        <v>0</v>
      </c>
      <c r="AG40" s="68">
        <v>0</v>
      </c>
    </row>
    <row r="41" spans="2:36" s="84" customFormat="1" ht="15" customHeight="1" outlineLevel="1">
      <c r="B41" s="81" t="s">
        <v>5</v>
      </c>
      <c r="C41" s="86"/>
      <c r="D41" s="86"/>
      <c r="E41" s="86"/>
      <c r="F41" s="87"/>
      <c r="G41" s="70">
        <f>G35-G38-G39</f>
        <v>66788.739979999955</v>
      </c>
      <c r="H41" s="88">
        <f t="shared" ref="H41:L41" si="73">H35-H38-H39</f>
        <v>13852</v>
      </c>
      <c r="I41" s="88">
        <f>I35-I38-I39-0.6</f>
        <v>15136.271770000001</v>
      </c>
      <c r="J41" s="88">
        <f t="shared" si="73"/>
        <v>12525.190249999998</v>
      </c>
      <c r="K41" s="88">
        <f t="shared" si="73"/>
        <v>14662.241589999998</v>
      </c>
      <c r="L41" s="89">
        <f t="shared" si="73"/>
        <v>56176.303609999995</v>
      </c>
      <c r="M41" s="88">
        <f t="shared" ref="M41:O41" si="74">M35-M38-M39-M40</f>
        <v>15301</v>
      </c>
      <c r="N41" s="88">
        <f t="shared" si="74"/>
        <v>19767.540710000001</v>
      </c>
      <c r="O41" s="88">
        <f t="shared" si="74"/>
        <v>17071</v>
      </c>
      <c r="P41" s="88">
        <f>P35-P38-P39-P40</f>
        <v>17963</v>
      </c>
      <c r="Q41" s="89">
        <f>Q35-Q38-Q39-Q40-1</f>
        <v>70101.540710000001</v>
      </c>
      <c r="R41" s="90">
        <f t="shared" ref="R41:S41" si="75">R35-R38-R39-R40</f>
        <v>20395</v>
      </c>
      <c r="S41" s="90">
        <f t="shared" si="75"/>
        <v>20654</v>
      </c>
      <c r="T41" s="90">
        <f t="shared" ref="T41:U41" si="76">T35-T38-T39-T40</f>
        <v>18972</v>
      </c>
      <c r="U41" s="90">
        <f t="shared" si="76"/>
        <v>23653</v>
      </c>
      <c r="V41" s="55">
        <f>V35-V38-V39-V40</f>
        <v>83674</v>
      </c>
      <c r="W41" s="90">
        <f t="shared" ref="W41:X41" si="77">W35-W38-W39-W40</f>
        <v>17062</v>
      </c>
      <c r="X41" s="90">
        <f t="shared" si="77"/>
        <v>17892</v>
      </c>
      <c r="Y41" s="90">
        <f t="shared" ref="Y41:Z41" si="78">Y35-Y38-Y39-Y40</f>
        <v>17625</v>
      </c>
      <c r="Z41" s="90">
        <f t="shared" si="78"/>
        <v>20713</v>
      </c>
      <c r="AA41" s="55">
        <f>AA35-AA38-AA39-AA40</f>
        <v>73292</v>
      </c>
      <c r="AB41" s="90">
        <f t="shared" ref="AB41:AC41" si="79">AB35-AB38-AB39-AB40</f>
        <v>18726</v>
      </c>
      <c r="AC41" s="90">
        <f t="shared" si="79"/>
        <v>18738</v>
      </c>
      <c r="AD41" s="90">
        <f t="shared" ref="AD41:AE41" si="80">AD35-AD38-AD39-AD40</f>
        <v>21642</v>
      </c>
      <c r="AE41" s="90">
        <f t="shared" si="80"/>
        <v>23037</v>
      </c>
      <c r="AF41" s="55">
        <f>AF35-AF38-AF39-AF40</f>
        <v>82143</v>
      </c>
      <c r="AG41" s="90">
        <f t="shared" ref="AG41" si="81">AG35-AG38-AG39-AG40</f>
        <v>21622</v>
      </c>
      <c r="AI41" s="303"/>
      <c r="AJ41" s="78"/>
    </row>
    <row r="42" spans="2:36" s="9" customFormat="1" ht="15" customHeight="1" outlineLevel="1">
      <c r="B42" s="79" t="s">
        <v>87</v>
      </c>
      <c r="C42" s="10"/>
      <c r="D42" s="10"/>
      <c r="E42" s="10"/>
      <c r="F42" s="10"/>
      <c r="G42" s="59">
        <f>G41/G$10</f>
        <v>0.38217406717784363</v>
      </c>
      <c r="H42" s="72">
        <f t="shared" ref="H42" si="82">H41/H$10</f>
        <v>0.29625510618730883</v>
      </c>
      <c r="I42" s="72">
        <f t="shared" ref="I42" si="83">I41/I$10</f>
        <v>0.28023386536574529</v>
      </c>
      <c r="J42" s="72">
        <f t="shared" ref="J42" si="84">J41/J$10</f>
        <v>0.21185687403798986</v>
      </c>
      <c r="K42" s="72">
        <f t="shared" ref="K42" si="85">K41/K$10</f>
        <v>0.24351837884072411</v>
      </c>
      <c r="L42" s="59">
        <f>L41/L$10</f>
        <v>0.25522966097382566</v>
      </c>
      <c r="M42" s="72">
        <f t="shared" ref="M42" si="86">M41/M$10</f>
        <v>0.24492964735637335</v>
      </c>
      <c r="N42" s="72">
        <f t="shared" ref="N42" si="87">N41/N$10</f>
        <v>0.30499815944578168</v>
      </c>
      <c r="O42" s="72">
        <f t="shared" ref="O42" si="88">O41/O$10</f>
        <v>0.2133315004811237</v>
      </c>
      <c r="P42" s="72">
        <f t="shared" ref="P42" si="89">P41/P$10</f>
        <v>0.22936564686654068</v>
      </c>
      <c r="Q42" s="59">
        <f>Q41/Q$10</f>
        <v>0.24543638649254254</v>
      </c>
      <c r="R42" s="72">
        <f t="shared" ref="R42:S42" si="90">R41/R$10</f>
        <v>0.24717916399025586</v>
      </c>
      <c r="S42" s="72">
        <f t="shared" si="90"/>
        <v>0.22912483498441366</v>
      </c>
      <c r="T42" s="72">
        <f t="shared" ref="T42:U42" si="91">T41/T$10</f>
        <v>0.18560513417533286</v>
      </c>
      <c r="U42" s="72">
        <f t="shared" si="91"/>
        <v>0.22377271738204937</v>
      </c>
      <c r="V42" s="59">
        <f>V41/V$10</f>
        <v>0.21986378398831233</v>
      </c>
      <c r="W42" s="72">
        <f t="shared" ref="W42:X42" si="92">W41/W$10</f>
        <v>0.17158602934521355</v>
      </c>
      <c r="X42" s="72">
        <f t="shared" si="92"/>
        <v>0.17095193051853125</v>
      </c>
      <c r="Y42" s="72">
        <f t="shared" ref="Y42:Z42" si="93">Y41/Y$10</f>
        <v>0.14717794126243183</v>
      </c>
      <c r="Z42" s="72">
        <f t="shared" si="93"/>
        <v>0.17380323054331864</v>
      </c>
      <c r="AA42" s="59">
        <f>AA41/AA$10</f>
        <v>0.1654349857570436</v>
      </c>
      <c r="AB42" s="72">
        <f t="shared" ref="AB42:AC42" si="94">AB41/AB$10</f>
        <v>0.15731111073774762</v>
      </c>
      <c r="AC42" s="72">
        <f t="shared" si="94"/>
        <v>0.14720716474192788</v>
      </c>
      <c r="AD42" s="72">
        <f t="shared" ref="AD42:AE42" si="95">AD41/AD$10</f>
        <v>0.15392165230007682</v>
      </c>
      <c r="AE42" s="72">
        <f t="shared" si="95"/>
        <v>0.16254718645263716</v>
      </c>
      <c r="AF42" s="59">
        <f>AF41/AF$10</f>
        <v>0.15538052082919548</v>
      </c>
      <c r="AG42" s="72">
        <f t="shared" ref="AG42" si="96">AG41/AG$10</f>
        <v>0.15200748015719578</v>
      </c>
    </row>
    <row r="43" spans="2:36" s="9" customFormat="1" ht="15" customHeight="1" outlineLevel="1">
      <c r="B43" s="10"/>
      <c r="C43" s="10"/>
      <c r="D43" s="10"/>
      <c r="E43" s="10"/>
      <c r="F43" s="10"/>
      <c r="G43" s="62"/>
      <c r="H43" s="10"/>
      <c r="I43" s="10"/>
      <c r="J43" s="10"/>
      <c r="K43" s="10"/>
      <c r="L43" s="62"/>
      <c r="M43" s="10"/>
      <c r="N43" s="10"/>
      <c r="O43" s="10"/>
      <c r="P43" s="10"/>
      <c r="Q43" s="62"/>
      <c r="R43" s="10"/>
      <c r="S43" s="10"/>
      <c r="T43" s="10"/>
      <c r="U43" s="10"/>
      <c r="V43" s="62"/>
      <c r="W43" s="10"/>
      <c r="X43" s="10"/>
      <c r="Y43" s="10"/>
      <c r="Z43" s="10"/>
      <c r="AA43" s="62"/>
      <c r="AB43" s="10"/>
      <c r="AC43" s="10"/>
      <c r="AD43" s="10"/>
      <c r="AE43" s="10"/>
      <c r="AF43" s="62"/>
      <c r="AG43" s="10"/>
    </row>
    <row r="44" spans="2:36" s="9" customFormat="1" ht="15" customHeight="1">
      <c r="B44" s="10" t="s">
        <v>37</v>
      </c>
      <c r="C44" s="92"/>
      <c r="D44" s="92"/>
      <c r="E44" s="92"/>
      <c r="F44" s="92"/>
      <c r="G44" s="93">
        <v>-131412</v>
      </c>
      <c r="H44" s="94">
        <v>-39819</v>
      </c>
      <c r="I44" s="94">
        <v>-38133</v>
      </c>
      <c r="J44" s="94">
        <v>-27689</v>
      </c>
      <c r="K44" s="94">
        <v>-27883</v>
      </c>
      <c r="L44" s="93">
        <f>SUM(H44:K44)</f>
        <v>-133524</v>
      </c>
      <c r="M44" s="94">
        <v>-29602</v>
      </c>
      <c r="N44" s="94">
        <v>-38199</v>
      </c>
      <c r="O44" s="94">
        <v>-48211</v>
      </c>
      <c r="P44" s="94">
        <v>-82134</v>
      </c>
      <c r="Q44" s="93">
        <f>SUM(M44:P44)</f>
        <v>-198146</v>
      </c>
      <c r="R44" s="94">
        <f>'Income Statement'!N22</f>
        <v>-48375</v>
      </c>
      <c r="S44" s="94">
        <f>'Income Statement'!O22</f>
        <v>-50273</v>
      </c>
      <c r="T44" s="94">
        <f>'Income Statement'!P22</f>
        <v>-41485</v>
      </c>
      <c r="U44" s="94">
        <f>'Income Statement'!Q22</f>
        <v>-40789</v>
      </c>
      <c r="V44" s="93">
        <f>SUM(R44:U44)</f>
        <v>-180922</v>
      </c>
      <c r="W44" s="94">
        <f>'Income Statement'!S22</f>
        <v>-26007</v>
      </c>
      <c r="X44" s="94">
        <f>'Income Statement'!T22</f>
        <v>-26852</v>
      </c>
      <c r="Y44" s="94">
        <f>'Income Statement'!U22</f>
        <v>-15781</v>
      </c>
      <c r="Z44" s="94">
        <f>'Income Statement'!V22</f>
        <v>-51908</v>
      </c>
      <c r="AA44" s="93">
        <f>SUM(W44:Z44)</f>
        <v>-120548</v>
      </c>
      <c r="AB44" s="94">
        <f>'Income Statement'!X22</f>
        <v>-17601</v>
      </c>
      <c r="AC44" s="94">
        <f>'Income Statement'!Y22</f>
        <v>-6182</v>
      </c>
      <c r="AD44" s="94">
        <f>'Income Statement'!Z22</f>
        <v>-13786</v>
      </c>
      <c r="AE44" s="94">
        <f>'Income Statement'!AA22</f>
        <v>-27969</v>
      </c>
      <c r="AF44" s="93">
        <f>SUM(AB44:AE44)</f>
        <v>-65538</v>
      </c>
      <c r="AG44" s="94">
        <f>'Income Statement'!AC22</f>
        <v>-25602</v>
      </c>
    </row>
    <row r="45" spans="2:36" s="9" customFormat="1" ht="15" customHeight="1">
      <c r="B45" s="79" t="s">
        <v>0</v>
      </c>
      <c r="C45" s="10"/>
      <c r="D45" s="10"/>
      <c r="E45" s="10"/>
      <c r="F45" s="10"/>
      <c r="G45" s="59">
        <f t="shared" ref="G45:L45" si="97">G44/G10</f>
        <v>-0.75195696955825131</v>
      </c>
      <c r="H45" s="72">
        <f t="shared" si="97"/>
        <v>-0.85161580084265454</v>
      </c>
      <c r="I45" s="72">
        <f t="shared" si="97"/>
        <v>-0.70599670449706553</v>
      </c>
      <c r="J45" s="72">
        <f t="shared" si="97"/>
        <v>-0.46834458145159924</v>
      </c>
      <c r="K45" s="72">
        <f t="shared" si="97"/>
        <v>-0.46309583125726622</v>
      </c>
      <c r="L45" s="59">
        <f t="shared" si="97"/>
        <v>-0.60664876579388549</v>
      </c>
      <c r="M45" s="72">
        <f>M44/$P$10</f>
        <v>-0.37798151080239034</v>
      </c>
      <c r="N45" s="72">
        <f>N44/$P$10</f>
        <v>-0.48775473721844836</v>
      </c>
      <c r="O45" s="72">
        <f>O44/$P$10</f>
        <v>-0.61559579140916287</v>
      </c>
      <c r="P45" s="72">
        <f>P44/$P$10</f>
        <v>-1.0487512130343735</v>
      </c>
      <c r="Q45" s="59">
        <f>Q44/$Q$10</f>
        <v>-0.69373993417827884</v>
      </c>
      <c r="R45" s="72">
        <f t="shared" ref="R45:X45" si="98">R44/R10</f>
        <v>-0.58628546496830725</v>
      </c>
      <c r="S45" s="72">
        <f t="shared" si="98"/>
        <v>-0.55770276116836581</v>
      </c>
      <c r="T45" s="72">
        <f t="shared" si="98"/>
        <v>-0.40585225549566117</v>
      </c>
      <c r="U45" s="72">
        <f t="shared" si="98"/>
        <v>-0.38589038892725708</v>
      </c>
      <c r="V45" s="59">
        <f t="shared" si="98"/>
        <v>-0.4753949318394417</v>
      </c>
      <c r="W45" s="72">
        <f t="shared" si="98"/>
        <v>-0.26154248418596698</v>
      </c>
      <c r="X45" s="72">
        <f t="shared" si="98"/>
        <v>-0.25656166098164551</v>
      </c>
      <c r="Y45" s="72">
        <f t="shared" ref="Y45:AB45" si="99">Y44/Y10</f>
        <v>-0.13177957963474818</v>
      </c>
      <c r="Z45" s="72">
        <f t="shared" si="99"/>
        <v>-0.43556114956996012</v>
      </c>
      <c r="AA45" s="59">
        <f t="shared" si="99"/>
        <v>-0.27210141165529789</v>
      </c>
      <c r="AB45" s="72">
        <f t="shared" si="99"/>
        <v>-0.14786034711604698</v>
      </c>
      <c r="AC45" s="72">
        <f t="shared" ref="AC45:AF45" si="100">AC44/AC10</f>
        <v>-4.8566266006756224E-2</v>
      </c>
      <c r="AD45" s="72">
        <f t="shared" si="100"/>
        <v>-9.8048419675115933E-2</v>
      </c>
      <c r="AE45" s="72">
        <f t="shared" si="100"/>
        <v>-0.19734697477509261</v>
      </c>
      <c r="AF45" s="59">
        <f t="shared" si="100"/>
        <v>-0.12397074095301869</v>
      </c>
      <c r="AG45" s="72">
        <f t="shared" ref="AG45" si="101">AG44/AG10</f>
        <v>-0.17998776741210465</v>
      </c>
    </row>
    <row r="46" spans="2:36" s="9" customFormat="1" ht="15" customHeight="1">
      <c r="B46" s="80" t="s">
        <v>1</v>
      </c>
      <c r="C46" s="10"/>
      <c r="D46" s="10"/>
      <c r="E46" s="10"/>
      <c r="F46" s="10"/>
      <c r="G46" s="62"/>
      <c r="H46" s="10"/>
      <c r="I46" s="10"/>
      <c r="J46" s="10"/>
      <c r="K46" s="10"/>
      <c r="L46" s="62"/>
      <c r="M46" s="10"/>
      <c r="N46" s="10"/>
      <c r="O46" s="10"/>
      <c r="P46" s="10"/>
      <c r="Q46" s="62"/>
      <c r="R46" s="10"/>
      <c r="S46" s="10"/>
      <c r="T46" s="10"/>
      <c r="U46" s="10"/>
      <c r="V46" s="62"/>
      <c r="W46" s="10"/>
      <c r="X46" s="10"/>
      <c r="Y46" s="10"/>
      <c r="Z46" s="10"/>
      <c r="AA46" s="62"/>
      <c r="AB46" s="10"/>
      <c r="AC46" s="10"/>
      <c r="AD46" s="10"/>
      <c r="AE46" s="10"/>
      <c r="AF46" s="62"/>
      <c r="AG46" s="10"/>
    </row>
    <row r="47" spans="2:36" s="9" customFormat="1" ht="15" customHeight="1">
      <c r="B47" s="95" t="s">
        <v>27</v>
      </c>
      <c r="C47" s="56"/>
      <c r="D47" s="56"/>
      <c r="E47" s="56"/>
      <c r="F47" s="56"/>
      <c r="G47" s="57">
        <f t="shared" ref="G47:S47" si="102">G15</f>
        <v>18618</v>
      </c>
      <c r="H47" s="56">
        <f t="shared" si="102"/>
        <v>5959</v>
      </c>
      <c r="I47" s="56">
        <f t="shared" si="102"/>
        <v>6015</v>
      </c>
      <c r="J47" s="56">
        <f t="shared" si="102"/>
        <v>5965</v>
      </c>
      <c r="K47" s="56">
        <f t="shared" si="102"/>
        <v>5956</v>
      </c>
      <c r="L47" s="57">
        <f t="shared" si="102"/>
        <v>23895</v>
      </c>
      <c r="M47" s="56">
        <f t="shared" si="102"/>
        <v>5970</v>
      </c>
      <c r="N47" s="56">
        <f t="shared" si="102"/>
        <v>3548</v>
      </c>
      <c r="O47" s="56">
        <f t="shared" si="102"/>
        <v>3359</v>
      </c>
      <c r="P47" s="56">
        <f t="shared" si="102"/>
        <v>2981</v>
      </c>
      <c r="Q47" s="57">
        <f t="shared" si="102"/>
        <v>15858</v>
      </c>
      <c r="R47" s="56">
        <f t="shared" si="102"/>
        <v>3123</v>
      </c>
      <c r="S47" s="56">
        <f t="shared" si="102"/>
        <v>5369</v>
      </c>
      <c r="T47" s="56">
        <f t="shared" ref="T47:U47" si="103">T15</f>
        <v>5369</v>
      </c>
      <c r="U47" s="56">
        <f t="shared" si="103"/>
        <v>5181</v>
      </c>
      <c r="V47" s="278">
        <f t="shared" ref="V47:V51" si="104">SUM(R47:U47)</f>
        <v>19042</v>
      </c>
      <c r="W47" s="56">
        <f t="shared" ref="W47:X47" si="105">W15</f>
        <v>5306</v>
      </c>
      <c r="X47" s="56">
        <f t="shared" si="105"/>
        <v>4350</v>
      </c>
      <c r="Y47" s="56">
        <f t="shared" ref="Y47:Z47" si="106">Y15</f>
        <v>4213</v>
      </c>
      <c r="Z47" s="56">
        <f t="shared" si="106"/>
        <v>4177</v>
      </c>
      <c r="AA47" s="278">
        <f t="shared" ref="AA47:AA51" si="107">SUM(W47:Z47)</f>
        <v>18046</v>
      </c>
      <c r="AB47" s="56">
        <f t="shared" ref="AB47:AC47" si="108">AB15</f>
        <v>4645</v>
      </c>
      <c r="AC47" s="56">
        <f t="shared" si="108"/>
        <v>4612</v>
      </c>
      <c r="AD47" s="56">
        <f t="shared" ref="AD47:AE47" si="109">AD15</f>
        <v>4647</v>
      </c>
      <c r="AE47" s="56">
        <f t="shared" si="109"/>
        <v>4807</v>
      </c>
      <c r="AF47" s="278">
        <f t="shared" ref="AF47:AF51" si="110">SUM(AB47:AE47)</f>
        <v>18711</v>
      </c>
      <c r="AG47" s="56">
        <f t="shared" ref="AG47" si="111">AG15</f>
        <v>4643</v>
      </c>
    </row>
    <row r="48" spans="2:36" s="9" customFormat="1" ht="15" customHeight="1">
      <c r="B48" s="95" t="s">
        <v>28</v>
      </c>
      <c r="C48" s="10"/>
      <c r="D48" s="10"/>
      <c r="E48" s="10"/>
      <c r="F48" s="10"/>
      <c r="G48" s="62">
        <v>39795</v>
      </c>
      <c r="H48" s="96">
        <v>12400</v>
      </c>
      <c r="I48" s="96">
        <v>13154</v>
      </c>
      <c r="J48" s="96">
        <v>13290</v>
      </c>
      <c r="K48" s="96">
        <v>14022</v>
      </c>
      <c r="L48" s="62">
        <f>SUM(H48:K48)</f>
        <v>52866</v>
      </c>
      <c r="M48" s="96">
        <v>17798</v>
      </c>
      <c r="N48" s="96">
        <v>17667</v>
      </c>
      <c r="O48" s="96">
        <v>26082</v>
      </c>
      <c r="P48" s="96">
        <f>P16+P24+P31+P38</f>
        <v>41175</v>
      </c>
      <c r="Q48" s="62">
        <f t="shared" ref="Q48:Q51" si="112">SUM(M48:P48)</f>
        <v>102722</v>
      </c>
      <c r="R48" s="85">
        <f>R16+R24+R31+R38</f>
        <v>18630</v>
      </c>
      <c r="S48" s="97">
        <f>S16+S24+S31+S38</f>
        <v>23354</v>
      </c>
      <c r="T48" s="97">
        <f>T16+T24+T31+T38</f>
        <v>30295</v>
      </c>
      <c r="U48" s="97">
        <f>U16+U24+U31+U38</f>
        <v>17168</v>
      </c>
      <c r="V48" s="62">
        <f t="shared" si="104"/>
        <v>89447</v>
      </c>
      <c r="W48" s="85">
        <f>W16+W24+W31+W38</f>
        <v>16485</v>
      </c>
      <c r="X48" s="97">
        <f>X16+X24+X31+X38</f>
        <v>24204</v>
      </c>
      <c r="Y48" s="97">
        <f>Y16+Y24+Y31+Y38</f>
        <v>23894</v>
      </c>
      <c r="Z48" s="97">
        <f>Z16+Z24+Z31+Z38</f>
        <v>47124</v>
      </c>
      <c r="AA48" s="62">
        <f t="shared" si="107"/>
        <v>111707</v>
      </c>
      <c r="AB48" s="85">
        <f>AB16+AB24+AB31+AB38</f>
        <v>18496</v>
      </c>
      <c r="AC48" s="85">
        <f>AC16+AC24+AC31+AC38</f>
        <v>19221</v>
      </c>
      <c r="AD48" s="85">
        <f>AD16+AD24+AD31+AD38</f>
        <v>23758</v>
      </c>
      <c r="AE48" s="97">
        <f>AE16+AE24+AE31+AE38</f>
        <v>25782</v>
      </c>
      <c r="AF48" s="62">
        <f t="shared" si="110"/>
        <v>87257</v>
      </c>
      <c r="AG48" s="97">
        <f>AG16+AG24+AG31+AG38</f>
        <v>24225</v>
      </c>
    </row>
    <row r="49" spans="2:33" s="9" customFormat="1" ht="15" customHeight="1">
      <c r="B49" s="95" t="s">
        <v>89</v>
      </c>
      <c r="C49" s="10"/>
      <c r="D49" s="10"/>
      <c r="E49" s="10"/>
      <c r="F49" s="10"/>
      <c r="G49" s="62">
        <v>4672</v>
      </c>
      <c r="H49" s="96">
        <v>-3</v>
      </c>
      <c r="I49" s="96">
        <v>2833</v>
      </c>
      <c r="J49" s="96">
        <v>-788</v>
      </c>
      <c r="K49" s="96">
        <v>681</v>
      </c>
      <c r="L49" s="62">
        <f>SUM(H49:K49)</f>
        <v>2723</v>
      </c>
      <c r="M49" s="96">
        <v>1</v>
      </c>
      <c r="N49" s="96">
        <v>489</v>
      </c>
      <c r="O49" s="96">
        <v>5043</v>
      </c>
      <c r="P49" s="96">
        <v>14400</v>
      </c>
      <c r="Q49" s="62">
        <f t="shared" si="112"/>
        <v>19933</v>
      </c>
      <c r="R49" s="85">
        <v>2276</v>
      </c>
      <c r="S49" s="85">
        <v>45</v>
      </c>
      <c r="T49" s="85">
        <v>233</v>
      </c>
      <c r="U49" s="85">
        <v>2447</v>
      </c>
      <c r="V49" s="62">
        <f t="shared" si="104"/>
        <v>5001</v>
      </c>
      <c r="W49" s="85">
        <v>1995</v>
      </c>
      <c r="X49" s="85">
        <v>-619</v>
      </c>
      <c r="Y49" s="85">
        <v>-6</v>
      </c>
      <c r="Z49" s="85">
        <v>1345</v>
      </c>
      <c r="AA49" s="62">
        <f t="shared" si="107"/>
        <v>2715</v>
      </c>
      <c r="AB49" s="85">
        <f>'Income Statement'!X19</f>
        <v>1278</v>
      </c>
      <c r="AC49" s="85">
        <f>'Income Statement'!Y19</f>
        <v>18</v>
      </c>
      <c r="AD49" s="85">
        <f>'Income Statement'!Z19</f>
        <v>0</v>
      </c>
      <c r="AE49" s="85">
        <f>'Income Statement'!AA19</f>
        <v>183</v>
      </c>
      <c r="AF49" s="62">
        <f t="shared" si="110"/>
        <v>1479</v>
      </c>
      <c r="AG49" s="85">
        <f>'Income Statement'!AC19</f>
        <v>739</v>
      </c>
    </row>
    <row r="50" spans="2:33" s="9" customFormat="1" ht="15" customHeight="1">
      <c r="B50" s="95" t="s">
        <v>90</v>
      </c>
      <c r="C50" s="10"/>
      <c r="D50" s="10"/>
      <c r="E50" s="10"/>
      <c r="F50" s="10"/>
      <c r="G50" s="62">
        <v>8639.0499999999975</v>
      </c>
      <c r="H50" s="96">
        <v>7119</v>
      </c>
      <c r="I50" s="96">
        <v>5453</v>
      </c>
      <c r="J50" s="96">
        <v>5214.1000000000004</v>
      </c>
      <c r="K50" s="85">
        <v>0</v>
      </c>
      <c r="L50" s="62">
        <f>SUM(H50:K50)</f>
        <v>17786.099999999999</v>
      </c>
      <c r="M50" s="96">
        <v>0</v>
      </c>
      <c r="N50" s="96">
        <v>2122</v>
      </c>
      <c r="O50" s="96">
        <v>700</v>
      </c>
      <c r="P50" s="85">
        <f>P39</f>
        <v>-705</v>
      </c>
      <c r="Q50" s="62">
        <f t="shared" si="112"/>
        <v>2117</v>
      </c>
      <c r="R50" s="85">
        <f>R39</f>
        <v>0</v>
      </c>
      <c r="S50" s="85">
        <f>S39</f>
        <v>0</v>
      </c>
      <c r="T50" s="85">
        <f>T39</f>
        <v>0</v>
      </c>
      <c r="U50" s="85">
        <f>U39</f>
        <v>0</v>
      </c>
      <c r="V50" s="62">
        <f t="shared" si="104"/>
        <v>0</v>
      </c>
      <c r="W50" s="85">
        <f>W39</f>
        <v>3605</v>
      </c>
      <c r="X50" s="85">
        <f>X39</f>
        <v>258</v>
      </c>
      <c r="Y50" s="85">
        <f>Y39</f>
        <v>0</v>
      </c>
      <c r="Z50" s="85">
        <f>Z39</f>
        <v>0</v>
      </c>
      <c r="AA50" s="62">
        <f t="shared" si="107"/>
        <v>3863</v>
      </c>
      <c r="AB50" s="85">
        <f>AB39</f>
        <v>0</v>
      </c>
      <c r="AC50" s="85">
        <f>AC39</f>
        <v>0</v>
      </c>
      <c r="AD50" s="85">
        <f>AD39</f>
        <v>0</v>
      </c>
      <c r="AE50" s="85">
        <f>AE39</f>
        <v>0</v>
      </c>
      <c r="AF50" s="62">
        <f t="shared" si="110"/>
        <v>0</v>
      </c>
      <c r="AG50" s="85">
        <f>AG39</f>
        <v>0</v>
      </c>
    </row>
    <row r="51" spans="2:33" s="9" customFormat="1" ht="15" customHeight="1">
      <c r="B51" s="98" t="s">
        <v>25</v>
      </c>
      <c r="C51" s="13"/>
      <c r="D51" s="13"/>
      <c r="E51" s="13"/>
      <c r="F51" s="13"/>
      <c r="G51" s="67">
        <v>0</v>
      </c>
      <c r="H51" s="68">
        <v>0</v>
      </c>
      <c r="I51" s="68">
        <v>0</v>
      </c>
      <c r="J51" s="68">
        <v>0</v>
      </c>
      <c r="K51" s="68">
        <v>0</v>
      </c>
      <c r="L51" s="67">
        <v>0</v>
      </c>
      <c r="M51" s="68">
        <v>0</v>
      </c>
      <c r="N51" s="68">
        <v>0</v>
      </c>
      <c r="O51" s="99">
        <v>1959</v>
      </c>
      <c r="P51" s="68">
        <f>P17+P40</f>
        <v>1853</v>
      </c>
      <c r="Q51" s="67">
        <f t="shared" si="112"/>
        <v>3812</v>
      </c>
      <c r="R51" s="68">
        <f>R17+R40</f>
        <v>1906</v>
      </c>
      <c r="S51" s="68">
        <f>S17+S40</f>
        <v>1663</v>
      </c>
      <c r="T51" s="68">
        <f>T17+T40</f>
        <v>0</v>
      </c>
      <c r="U51" s="68">
        <f>U17+U40</f>
        <v>0</v>
      </c>
      <c r="V51" s="67">
        <f t="shared" si="104"/>
        <v>3569</v>
      </c>
      <c r="W51" s="68">
        <f>W17+W40</f>
        <v>0</v>
      </c>
      <c r="X51" s="68">
        <f>X17+X40</f>
        <v>0</v>
      </c>
      <c r="Y51" s="68">
        <f>Y17+Y40</f>
        <v>0</v>
      </c>
      <c r="Z51" s="68">
        <f>Z17+Z40</f>
        <v>0</v>
      </c>
      <c r="AA51" s="67">
        <f t="shared" si="107"/>
        <v>0</v>
      </c>
      <c r="AB51" s="68">
        <f>AB17+AB40</f>
        <v>0</v>
      </c>
      <c r="AC51" s="68">
        <f>AC17+AC40</f>
        <v>0</v>
      </c>
      <c r="AD51" s="68">
        <f>AD17+AD40</f>
        <v>0</v>
      </c>
      <c r="AE51" s="68">
        <f>AE17+AE40</f>
        <v>0</v>
      </c>
      <c r="AF51" s="67">
        <f t="shared" si="110"/>
        <v>0</v>
      </c>
      <c r="AG51" s="68">
        <f>AG17+AG40</f>
        <v>0</v>
      </c>
    </row>
    <row r="52" spans="2:33" s="84" customFormat="1" ht="15" customHeight="1">
      <c r="B52" s="100" t="s">
        <v>196</v>
      </c>
      <c r="C52" s="88"/>
      <c r="D52" s="88"/>
      <c r="E52" s="88"/>
      <c r="F52" s="88"/>
      <c r="G52" s="91">
        <f t="shared" ref="G52:S52" si="113">G44+G47+G48+G49+G50+G51</f>
        <v>-59687.950000000004</v>
      </c>
      <c r="H52" s="90">
        <f t="shared" si="113"/>
        <v>-14344</v>
      </c>
      <c r="I52" s="90">
        <f t="shared" si="113"/>
        <v>-10678</v>
      </c>
      <c r="J52" s="90">
        <f t="shared" si="113"/>
        <v>-4007.8999999999996</v>
      </c>
      <c r="K52" s="90">
        <f t="shared" si="113"/>
        <v>-7224</v>
      </c>
      <c r="L52" s="91">
        <f t="shared" si="113"/>
        <v>-36253.9</v>
      </c>
      <c r="M52" s="90">
        <f t="shared" si="113"/>
        <v>-5833</v>
      </c>
      <c r="N52" s="90">
        <f t="shared" si="113"/>
        <v>-14373</v>
      </c>
      <c r="O52" s="90">
        <f t="shared" si="113"/>
        <v>-11068</v>
      </c>
      <c r="P52" s="90">
        <f t="shared" si="113"/>
        <v>-22430</v>
      </c>
      <c r="Q52" s="91">
        <f t="shared" si="113"/>
        <v>-53704</v>
      </c>
      <c r="R52" s="90">
        <f t="shared" si="113"/>
        <v>-22440</v>
      </c>
      <c r="S52" s="90">
        <f t="shared" si="113"/>
        <v>-19842</v>
      </c>
      <c r="T52" s="90">
        <f t="shared" ref="T52:X52" si="114">T44+T47+T48+T49+T50+T51</f>
        <v>-5588</v>
      </c>
      <c r="U52" s="90">
        <f t="shared" si="114"/>
        <v>-15993</v>
      </c>
      <c r="V52" s="91">
        <f t="shared" si="114"/>
        <v>-63863</v>
      </c>
      <c r="W52" s="90">
        <f t="shared" si="114"/>
        <v>1384</v>
      </c>
      <c r="X52" s="90">
        <f t="shared" si="114"/>
        <v>1341</v>
      </c>
      <c r="Y52" s="90">
        <f t="shared" ref="Y52:AB52" si="115">Y44+Y47+Y48+Y49+Y50+Y51</f>
        <v>12320</v>
      </c>
      <c r="Z52" s="90">
        <f t="shared" si="115"/>
        <v>738</v>
      </c>
      <c r="AA52" s="91">
        <f t="shared" si="115"/>
        <v>15783</v>
      </c>
      <c r="AB52" s="90">
        <f t="shared" si="115"/>
        <v>6818</v>
      </c>
      <c r="AC52" s="90">
        <f t="shared" ref="AC52:AF52" si="116">AC44+AC47+AC48+AC49+AC50+AC51</f>
        <v>17669</v>
      </c>
      <c r="AD52" s="90">
        <f t="shared" si="116"/>
        <v>14619</v>
      </c>
      <c r="AE52" s="90">
        <f t="shared" si="116"/>
        <v>2803</v>
      </c>
      <c r="AF52" s="91">
        <f t="shared" si="116"/>
        <v>41909</v>
      </c>
      <c r="AG52" s="90">
        <f t="shared" ref="AG52" si="117">AG44+AG47+AG48+AG49+AG50+AG51</f>
        <v>4005</v>
      </c>
    </row>
    <row r="53" spans="2:33" s="9" customFormat="1" ht="15" customHeight="1">
      <c r="B53" s="79" t="s">
        <v>0</v>
      </c>
      <c r="C53" s="72"/>
      <c r="D53" s="72"/>
      <c r="E53" s="72"/>
      <c r="F53" s="72"/>
      <c r="G53" s="59">
        <f t="shared" ref="G53" si="118">G52/G$10</f>
        <v>-0.34154240100709549</v>
      </c>
      <c r="H53" s="72">
        <f t="shared" ref="H53" si="119">H52/H$10</f>
        <v>-0.30677759479863975</v>
      </c>
      <c r="I53" s="72">
        <f t="shared" ref="I53" si="120">I52/I$10</f>
        <v>-0.19769314794586487</v>
      </c>
      <c r="J53" s="72">
        <f t="shared" ref="J53" si="121">J52/J$10</f>
        <v>-6.7791478493259574E-2</v>
      </c>
      <c r="K53" s="72">
        <f t="shared" ref="K53" si="122">K52/K$10</f>
        <v>-0.11998006975585451</v>
      </c>
      <c r="L53" s="59">
        <f t="shared" ref="L53" si="123">L52/L$10</f>
        <v>-0.16471483546190158</v>
      </c>
      <c r="M53" s="72">
        <f t="shared" ref="M53" si="124">M52/M$10</f>
        <v>-9.3371324294472632E-2</v>
      </c>
      <c r="N53" s="72">
        <f t="shared" ref="N53" si="125">N52/N$10</f>
        <v>-0.22176448805776708</v>
      </c>
      <c r="O53" s="72">
        <f t="shared" ref="O53" si="126">O52/O$10</f>
        <v>-0.13831369265567789</v>
      </c>
      <c r="P53" s="72">
        <f t="shared" ref="P53" si="127">P52/P$10</f>
        <v>-0.28640379998978499</v>
      </c>
      <c r="Q53" s="59">
        <f>Q52/Q$10</f>
        <v>-0.18802604859603669</v>
      </c>
      <c r="R53" s="72">
        <f t="shared" ref="R53:S53" si="128">R52/R$10</f>
        <v>-0.27196373816824421</v>
      </c>
      <c r="S53" s="72">
        <f t="shared" si="128"/>
        <v>-0.22011692532975383</v>
      </c>
      <c r="T53" s="72">
        <f t="shared" ref="T53:U53" si="129">T52/T$10</f>
        <v>-5.4668010213565259E-2</v>
      </c>
      <c r="U53" s="72">
        <f t="shared" si="129"/>
        <v>-0.1513041503864675</v>
      </c>
      <c r="V53" s="59">
        <f>V52/V$10</f>
        <v>-0.1678079312193225</v>
      </c>
      <c r="W53" s="72">
        <f t="shared" ref="W53:X53" si="130">W52/W$10</f>
        <v>1.3918360368876776E-2</v>
      </c>
      <c r="X53" s="72">
        <f t="shared" si="130"/>
        <v>1.2812795597213862E-2</v>
      </c>
      <c r="Y53" s="72">
        <f t="shared" ref="Y53:Z53" si="131">Y52/Y$10</f>
        <v>0.10287842475762611</v>
      </c>
      <c r="Z53" s="72">
        <f t="shared" si="131"/>
        <v>6.1925739458779105E-3</v>
      </c>
      <c r="AA53" s="59">
        <f>AA52/AA$10</f>
        <v>3.5625448619268398E-2</v>
      </c>
      <c r="AB53" s="72">
        <f t="shared" ref="AB53:AC53" si="132">AB52/AB$10</f>
        <v>5.7275827886893262E-2</v>
      </c>
      <c r="AC53" s="72">
        <f t="shared" si="132"/>
        <v>0.13880901877602325</v>
      </c>
      <c r="AD53" s="72">
        <f t="shared" ref="AD53:AE53" si="133">AD52/AD$10</f>
        <v>0.10397285994708542</v>
      </c>
      <c r="AE53" s="72">
        <f t="shared" si="133"/>
        <v>1.9777738578232493E-2</v>
      </c>
      <c r="AF53" s="59">
        <f>AF52/AF$10</f>
        <v>7.9274463404438042E-2</v>
      </c>
      <c r="AG53" s="72">
        <f t="shared" ref="AG53" si="134">AG52/AG$10</f>
        <v>2.815604282811808E-2</v>
      </c>
    </row>
    <row r="54" spans="2:33" s="9" customFormat="1" ht="15" customHeight="1">
      <c r="B54" s="10"/>
      <c r="C54" s="10"/>
      <c r="D54" s="10"/>
      <c r="E54" s="10"/>
      <c r="F54" s="10"/>
      <c r="G54" s="62"/>
      <c r="H54" s="10"/>
      <c r="I54" s="10"/>
      <c r="J54" s="10"/>
      <c r="K54" s="10"/>
      <c r="L54" s="62"/>
      <c r="M54" s="10"/>
      <c r="N54" s="10"/>
      <c r="O54" s="10"/>
      <c r="P54" s="10"/>
      <c r="Q54" s="62"/>
      <c r="R54" s="10"/>
      <c r="S54" s="10"/>
      <c r="T54" s="10"/>
      <c r="U54" s="10"/>
      <c r="V54" s="62"/>
      <c r="W54" s="10"/>
      <c r="X54" s="10"/>
      <c r="Y54" s="10"/>
      <c r="Z54" s="10"/>
      <c r="AA54" s="62"/>
      <c r="AB54" s="10"/>
      <c r="AC54" s="10"/>
      <c r="AD54" s="10"/>
      <c r="AE54" s="10"/>
      <c r="AF54" s="62"/>
      <c r="AG54" s="10"/>
    </row>
    <row r="55" spans="2:33" s="84" customFormat="1" ht="33" customHeight="1">
      <c r="B55" s="297" t="s">
        <v>206</v>
      </c>
      <c r="C55" s="88"/>
      <c r="D55" s="88"/>
      <c r="E55" s="88"/>
      <c r="F55" s="88"/>
      <c r="G55" s="101">
        <f>'Income Statement'!C27</f>
        <v>-130760</v>
      </c>
      <c r="H55" s="88">
        <f>'Income Statement'!D27</f>
        <v>-40399</v>
      </c>
      <c r="I55" s="88">
        <f>'Income Statement'!E27</f>
        <v>-37870</v>
      </c>
      <c r="J55" s="88">
        <f>'Income Statement'!F27</f>
        <v>-27257</v>
      </c>
      <c r="K55" s="88">
        <f>'Income Statement'!G27</f>
        <v>-27496</v>
      </c>
      <c r="L55" s="101">
        <f>SUM(H55:K55)</f>
        <v>-133022</v>
      </c>
      <c r="M55" s="88">
        <f>'Income Statement'!I27</f>
        <v>-29246</v>
      </c>
      <c r="N55" s="88">
        <f>'Income Statement'!J27</f>
        <v>-38480</v>
      </c>
      <c r="O55" s="88">
        <f>'Income Statement'!K27</f>
        <v>-37807</v>
      </c>
      <c r="P55" s="88">
        <f>'Income Statement'!L27</f>
        <v>-73823</v>
      </c>
      <c r="Q55" s="101">
        <f>SUM(M55:P55)</f>
        <v>-179356</v>
      </c>
      <c r="R55" s="88">
        <f>'Income Statement'!N27</f>
        <v>-42493</v>
      </c>
      <c r="S55" s="88">
        <f>'Income Statement'!O27</f>
        <v>-45493</v>
      </c>
      <c r="T55" s="88">
        <f>'Income Statement'!P27</f>
        <v>-38327</v>
      </c>
      <c r="U55" s="88">
        <f>'Income Statement'!Q27</f>
        <v>-39224</v>
      </c>
      <c r="V55" s="101">
        <f>SUM(R55:U55)</f>
        <v>-165537</v>
      </c>
      <c r="W55" s="88">
        <f>'Income Statement'!S27</f>
        <v>-25544</v>
      </c>
      <c r="X55" s="88">
        <f>'Income Statement'!T27</f>
        <v>-27077</v>
      </c>
      <c r="Y55" s="88">
        <f>'Income Statement'!U27</f>
        <v>-15867</v>
      </c>
      <c r="Z55" s="88">
        <f>'Income Statement'!V27</f>
        <v>-52312</v>
      </c>
      <c r="AA55" s="101">
        <f>SUM(W55:Z55)</f>
        <v>-120800</v>
      </c>
      <c r="AB55" s="88">
        <f>'Income Statement'!X27</f>
        <v>13000</v>
      </c>
      <c r="AC55" s="88">
        <f>'Income Statement'!Y27</f>
        <v>-6032</v>
      </c>
      <c r="AD55" s="88">
        <f>'Income Statement'!Z27</f>
        <v>-14027</v>
      </c>
      <c r="AE55" s="88">
        <f>'Income Statement'!AA27</f>
        <v>-28016</v>
      </c>
      <c r="AF55" s="101">
        <f>SUM(AB55:AE55)</f>
        <v>-35075</v>
      </c>
      <c r="AG55" s="88">
        <f>'Income Statement'!AC27</f>
        <v>-24903</v>
      </c>
    </row>
    <row r="56" spans="2:33" s="9" customFormat="1" ht="15" customHeight="1">
      <c r="B56" s="10"/>
      <c r="C56" s="10"/>
      <c r="D56" s="10"/>
      <c r="E56" s="10"/>
      <c r="F56" s="10"/>
      <c r="G56" s="62"/>
      <c r="H56" s="10"/>
      <c r="I56" s="10"/>
      <c r="J56" s="10"/>
      <c r="K56" s="10"/>
      <c r="L56" s="62"/>
      <c r="M56" s="10"/>
      <c r="N56" s="10"/>
      <c r="O56" s="10"/>
      <c r="P56" s="10"/>
      <c r="Q56" s="62"/>
      <c r="R56" s="10"/>
      <c r="S56" s="10"/>
      <c r="T56" s="10"/>
      <c r="U56" s="10"/>
      <c r="V56" s="62"/>
      <c r="W56" s="10"/>
      <c r="X56" s="10"/>
      <c r="Y56" s="10"/>
      <c r="Z56" s="10"/>
      <c r="AA56" s="62"/>
      <c r="AB56" s="10"/>
      <c r="AC56" s="10"/>
      <c r="AD56" s="10"/>
      <c r="AE56" s="10"/>
      <c r="AF56" s="62"/>
      <c r="AG56" s="10"/>
    </row>
    <row r="57" spans="2:33" s="9" customFormat="1" ht="15" customHeight="1">
      <c r="B57" s="80" t="s">
        <v>1</v>
      </c>
      <c r="C57" s="10"/>
      <c r="D57" s="10"/>
      <c r="E57" s="10"/>
      <c r="F57" s="10"/>
      <c r="G57" s="62"/>
      <c r="H57" s="10"/>
      <c r="I57" s="10"/>
      <c r="J57" s="10"/>
      <c r="K57" s="10"/>
      <c r="L57" s="62"/>
      <c r="M57" s="10"/>
      <c r="N57" s="10"/>
      <c r="O57" s="10"/>
      <c r="P57" s="10"/>
      <c r="Q57" s="62"/>
      <c r="R57" s="10"/>
      <c r="S57" s="10"/>
      <c r="T57" s="10"/>
      <c r="U57" s="10"/>
      <c r="V57" s="62"/>
      <c r="W57" s="10"/>
      <c r="X57" s="10"/>
      <c r="Y57" s="10"/>
      <c r="Z57" s="10"/>
      <c r="AA57" s="62"/>
      <c r="AB57" s="10"/>
      <c r="AC57" s="10"/>
      <c r="AD57" s="10"/>
      <c r="AE57" s="10"/>
      <c r="AF57" s="62"/>
      <c r="AG57" s="10"/>
    </row>
    <row r="58" spans="2:33" s="9" customFormat="1" ht="15" customHeight="1">
      <c r="B58" s="95" t="s">
        <v>27</v>
      </c>
      <c r="C58" s="56"/>
      <c r="D58" s="56"/>
      <c r="E58" s="56"/>
      <c r="F58" s="56"/>
      <c r="G58" s="57">
        <v>18618.054930000002</v>
      </c>
      <c r="H58" s="56">
        <f t="shared" ref="H58:K62" si="135">H47</f>
        <v>5959</v>
      </c>
      <c r="I58" s="56">
        <f t="shared" si="135"/>
        <v>6015</v>
      </c>
      <c r="J58" s="56">
        <f t="shared" si="135"/>
        <v>5965</v>
      </c>
      <c r="K58" s="56">
        <f t="shared" si="135"/>
        <v>5956</v>
      </c>
      <c r="L58" s="57">
        <f t="shared" ref="L58:L63" si="136">SUM(H58:K58)</f>
        <v>23895</v>
      </c>
      <c r="M58" s="56">
        <f t="shared" ref="M58:P62" si="137">M47</f>
        <v>5970</v>
      </c>
      <c r="N58" s="56">
        <f t="shared" si="137"/>
        <v>3548</v>
      </c>
      <c r="O58" s="56">
        <f t="shared" si="137"/>
        <v>3359</v>
      </c>
      <c r="P58" s="56">
        <f t="shared" si="137"/>
        <v>2981</v>
      </c>
      <c r="Q58" s="57">
        <f t="shared" ref="Q58:Q63" si="138">SUM(M58:P58)</f>
        <v>15858</v>
      </c>
      <c r="R58" s="56">
        <f t="shared" ref="R58:S62" si="139">R47</f>
        <v>3123</v>
      </c>
      <c r="S58" s="56">
        <f t="shared" si="139"/>
        <v>5369</v>
      </c>
      <c r="T58" s="56">
        <f t="shared" ref="T58:U58" si="140">T47</f>
        <v>5369</v>
      </c>
      <c r="U58" s="56">
        <f t="shared" si="140"/>
        <v>5181</v>
      </c>
      <c r="V58" s="57">
        <f t="shared" ref="V58:V63" si="141">SUM(R58:U58)</f>
        <v>19042</v>
      </c>
      <c r="W58" s="56">
        <f t="shared" ref="W58:X58" si="142">W47</f>
        <v>5306</v>
      </c>
      <c r="X58" s="56">
        <f t="shared" si="142"/>
        <v>4350</v>
      </c>
      <c r="Y58" s="56">
        <f t="shared" ref="Y58:Z58" si="143">Y47</f>
        <v>4213</v>
      </c>
      <c r="Z58" s="56">
        <f t="shared" si="143"/>
        <v>4177</v>
      </c>
      <c r="AA58" s="57">
        <f t="shared" ref="AA58:AA63" si="144">SUM(W58:Z58)</f>
        <v>18046</v>
      </c>
      <c r="AB58" s="56">
        <f t="shared" ref="AB58:AC58" si="145">AB47</f>
        <v>4645</v>
      </c>
      <c r="AC58" s="56">
        <f t="shared" si="145"/>
        <v>4612</v>
      </c>
      <c r="AD58" s="56">
        <f t="shared" ref="AD58:AE58" si="146">AD47</f>
        <v>4647</v>
      </c>
      <c r="AE58" s="56">
        <f t="shared" si="146"/>
        <v>4807</v>
      </c>
      <c r="AF58" s="57">
        <f t="shared" ref="AF58:AF63" si="147">SUM(AB58:AE58)</f>
        <v>18711</v>
      </c>
      <c r="AG58" s="56">
        <f t="shared" ref="AG58" si="148">AG47</f>
        <v>4643</v>
      </c>
    </row>
    <row r="59" spans="2:33" s="9" customFormat="1" ht="15" customHeight="1">
      <c r="B59" s="95" t="s">
        <v>28</v>
      </c>
      <c r="C59" s="10"/>
      <c r="D59" s="10"/>
      <c r="E59" s="10"/>
      <c r="F59" s="10"/>
      <c r="G59" s="62">
        <v>39795</v>
      </c>
      <c r="H59" s="96">
        <f t="shared" si="135"/>
        <v>12400</v>
      </c>
      <c r="I59" s="96">
        <f t="shared" si="135"/>
        <v>13154</v>
      </c>
      <c r="J59" s="96">
        <f t="shared" si="135"/>
        <v>13290</v>
      </c>
      <c r="K59" s="96">
        <f t="shared" si="135"/>
        <v>14022</v>
      </c>
      <c r="L59" s="62">
        <f t="shared" si="136"/>
        <v>52866</v>
      </c>
      <c r="M59" s="96">
        <f t="shared" si="137"/>
        <v>17798</v>
      </c>
      <c r="N59" s="96">
        <f t="shared" si="137"/>
        <v>17667</v>
      </c>
      <c r="O59" s="96">
        <f t="shared" si="137"/>
        <v>26082</v>
      </c>
      <c r="P59" s="96">
        <f t="shared" si="137"/>
        <v>41175</v>
      </c>
      <c r="Q59" s="62">
        <f t="shared" si="138"/>
        <v>102722</v>
      </c>
      <c r="R59" s="96">
        <f t="shared" si="139"/>
        <v>18630</v>
      </c>
      <c r="S59" s="85">
        <f t="shared" si="139"/>
        <v>23354</v>
      </c>
      <c r="T59" s="85">
        <f t="shared" ref="T59:U59" si="149">T48</f>
        <v>30295</v>
      </c>
      <c r="U59" s="85">
        <f t="shared" si="149"/>
        <v>17168</v>
      </c>
      <c r="V59" s="62">
        <f t="shared" si="141"/>
        <v>89447</v>
      </c>
      <c r="W59" s="96">
        <f t="shared" ref="W59:X59" si="150">W48</f>
        <v>16485</v>
      </c>
      <c r="X59" s="85">
        <f t="shared" si="150"/>
        <v>24204</v>
      </c>
      <c r="Y59" s="85">
        <f t="shared" ref="Y59:Z59" si="151">Y48</f>
        <v>23894</v>
      </c>
      <c r="Z59" s="85">
        <f t="shared" si="151"/>
        <v>47124</v>
      </c>
      <c r="AA59" s="62">
        <f t="shared" si="144"/>
        <v>111707</v>
      </c>
      <c r="AB59" s="96">
        <f t="shared" ref="AB59:AC59" si="152">AB48</f>
        <v>18496</v>
      </c>
      <c r="AC59" s="96">
        <f t="shared" si="152"/>
        <v>19221</v>
      </c>
      <c r="AD59" s="96">
        <f t="shared" ref="AD59:AE59" si="153">AD48</f>
        <v>23758</v>
      </c>
      <c r="AE59" s="85">
        <f t="shared" si="153"/>
        <v>25782</v>
      </c>
      <c r="AF59" s="62">
        <f t="shared" si="147"/>
        <v>87257</v>
      </c>
      <c r="AG59" s="85">
        <f t="shared" ref="AG59" si="154">AG48</f>
        <v>24225</v>
      </c>
    </row>
    <row r="60" spans="2:33" s="9" customFormat="1" ht="15" customHeight="1">
      <c r="B60" s="95" t="s">
        <v>89</v>
      </c>
      <c r="C60" s="10"/>
      <c r="D60" s="10"/>
      <c r="E60" s="10"/>
      <c r="F60" s="10"/>
      <c r="G60" s="62">
        <v>4672</v>
      </c>
      <c r="H60" s="96">
        <f t="shared" si="135"/>
        <v>-3</v>
      </c>
      <c r="I60" s="96">
        <f t="shared" si="135"/>
        <v>2833</v>
      </c>
      <c r="J60" s="96">
        <f t="shared" si="135"/>
        <v>-788</v>
      </c>
      <c r="K60" s="96">
        <f t="shared" si="135"/>
        <v>681</v>
      </c>
      <c r="L60" s="62">
        <f t="shared" si="136"/>
        <v>2723</v>
      </c>
      <c r="M60" s="96">
        <f t="shared" si="137"/>
        <v>1</v>
      </c>
      <c r="N60" s="96">
        <f t="shared" si="137"/>
        <v>489</v>
      </c>
      <c r="O60" s="96">
        <f t="shared" si="137"/>
        <v>5043</v>
      </c>
      <c r="P60" s="96">
        <f t="shared" si="137"/>
        <v>14400</v>
      </c>
      <c r="Q60" s="62">
        <f t="shared" si="138"/>
        <v>19933</v>
      </c>
      <c r="R60" s="96">
        <f t="shared" si="139"/>
        <v>2276</v>
      </c>
      <c r="S60" s="85">
        <f t="shared" si="139"/>
        <v>45</v>
      </c>
      <c r="T60" s="85">
        <f t="shared" ref="T60:U60" si="155">T49</f>
        <v>233</v>
      </c>
      <c r="U60" s="85">
        <f t="shared" si="155"/>
        <v>2447</v>
      </c>
      <c r="V60" s="62">
        <f t="shared" si="141"/>
        <v>5001</v>
      </c>
      <c r="W60" s="96">
        <f t="shared" ref="W60:X60" si="156">W49</f>
        <v>1995</v>
      </c>
      <c r="X60" s="85">
        <f t="shared" si="156"/>
        <v>-619</v>
      </c>
      <c r="Y60" s="85">
        <f t="shared" ref="Y60:Z60" si="157">Y49</f>
        <v>-6</v>
      </c>
      <c r="Z60" s="85">
        <f t="shared" si="157"/>
        <v>1345</v>
      </c>
      <c r="AA60" s="62">
        <f t="shared" si="144"/>
        <v>2715</v>
      </c>
      <c r="AB60" s="96">
        <f t="shared" ref="AB60:AC60" si="158">AB49</f>
        <v>1278</v>
      </c>
      <c r="AC60" s="96">
        <f t="shared" si="158"/>
        <v>18</v>
      </c>
      <c r="AD60" s="293">
        <f t="shared" ref="AD60:AE60" si="159">AD49</f>
        <v>0</v>
      </c>
      <c r="AE60" s="85">
        <f t="shared" si="159"/>
        <v>183</v>
      </c>
      <c r="AF60" s="62">
        <f t="shared" si="147"/>
        <v>1479</v>
      </c>
      <c r="AG60" s="85">
        <f t="shared" ref="AG60" si="160">AG49</f>
        <v>739</v>
      </c>
    </row>
    <row r="61" spans="2:33" s="9" customFormat="1" ht="15" customHeight="1">
      <c r="B61" s="95" t="s">
        <v>90</v>
      </c>
      <c r="C61" s="10"/>
      <c r="D61" s="10"/>
      <c r="E61" s="10"/>
      <c r="F61" s="10"/>
      <c r="G61" s="62">
        <v>8639.0499999999975</v>
      </c>
      <c r="H61" s="85">
        <f t="shared" si="135"/>
        <v>7119</v>
      </c>
      <c r="I61" s="85">
        <f t="shared" si="135"/>
        <v>5453</v>
      </c>
      <c r="J61" s="85">
        <f t="shared" si="135"/>
        <v>5214.1000000000004</v>
      </c>
      <c r="K61" s="96">
        <f t="shared" si="135"/>
        <v>0</v>
      </c>
      <c r="L61" s="62">
        <f t="shared" si="136"/>
        <v>17786.099999999999</v>
      </c>
      <c r="M61" s="85">
        <f t="shared" si="137"/>
        <v>0</v>
      </c>
      <c r="N61" s="85">
        <f t="shared" si="137"/>
        <v>2122</v>
      </c>
      <c r="O61" s="85">
        <f t="shared" si="137"/>
        <v>700</v>
      </c>
      <c r="P61" s="85">
        <f t="shared" si="137"/>
        <v>-705</v>
      </c>
      <c r="Q61" s="62">
        <f t="shared" si="138"/>
        <v>2117</v>
      </c>
      <c r="R61" s="85">
        <f t="shared" si="139"/>
        <v>0</v>
      </c>
      <c r="S61" s="85">
        <f t="shared" si="139"/>
        <v>0</v>
      </c>
      <c r="T61" s="85">
        <f t="shared" ref="T61:U61" si="161">T50</f>
        <v>0</v>
      </c>
      <c r="U61" s="85">
        <f t="shared" si="161"/>
        <v>0</v>
      </c>
      <c r="V61" s="62">
        <f t="shared" si="141"/>
        <v>0</v>
      </c>
      <c r="W61" s="85">
        <f t="shared" ref="W61:X61" si="162">W50</f>
        <v>3605</v>
      </c>
      <c r="X61" s="85">
        <f t="shared" si="162"/>
        <v>258</v>
      </c>
      <c r="Y61" s="85">
        <f t="shared" ref="Y61:Z61" si="163">Y50</f>
        <v>0</v>
      </c>
      <c r="Z61" s="85">
        <f t="shared" si="163"/>
        <v>0</v>
      </c>
      <c r="AA61" s="62">
        <f t="shared" si="144"/>
        <v>3863</v>
      </c>
      <c r="AB61" s="85">
        <f t="shared" ref="AB61:AC61" si="164">AB50</f>
        <v>0</v>
      </c>
      <c r="AC61" s="85">
        <f t="shared" si="164"/>
        <v>0</v>
      </c>
      <c r="AD61" s="85">
        <f t="shared" ref="AD61:AE61" si="165">AD50</f>
        <v>0</v>
      </c>
      <c r="AE61" s="85">
        <f t="shared" si="165"/>
        <v>0</v>
      </c>
      <c r="AF61" s="62">
        <f t="shared" si="147"/>
        <v>0</v>
      </c>
      <c r="AG61" s="85">
        <f t="shared" ref="AG61" si="166">AG50</f>
        <v>0</v>
      </c>
    </row>
    <row r="62" spans="2:33" s="9" customFormat="1" ht="15" customHeight="1">
      <c r="B62" s="95" t="s">
        <v>25</v>
      </c>
      <c r="C62" s="10"/>
      <c r="D62" s="10"/>
      <c r="E62" s="10"/>
      <c r="F62" s="10"/>
      <c r="G62" s="62">
        <v>0</v>
      </c>
      <c r="H62" s="85">
        <f t="shared" si="135"/>
        <v>0</v>
      </c>
      <c r="I62" s="85">
        <f t="shared" si="135"/>
        <v>0</v>
      </c>
      <c r="J62" s="85">
        <f t="shared" si="135"/>
        <v>0</v>
      </c>
      <c r="K62" s="85">
        <v>0</v>
      </c>
      <c r="L62" s="62">
        <f t="shared" si="136"/>
        <v>0</v>
      </c>
      <c r="M62" s="85">
        <f t="shared" si="137"/>
        <v>0</v>
      </c>
      <c r="N62" s="85">
        <f t="shared" si="137"/>
        <v>0</v>
      </c>
      <c r="O62" s="85">
        <f t="shared" si="137"/>
        <v>1959</v>
      </c>
      <c r="P62" s="85">
        <f t="shared" si="137"/>
        <v>1853</v>
      </c>
      <c r="Q62" s="62">
        <f t="shared" si="138"/>
        <v>3812</v>
      </c>
      <c r="R62" s="85">
        <f t="shared" si="139"/>
        <v>1906</v>
      </c>
      <c r="S62" s="85">
        <f t="shared" si="139"/>
        <v>1663</v>
      </c>
      <c r="T62" s="85">
        <f t="shared" ref="T62:U62" si="167">T51</f>
        <v>0</v>
      </c>
      <c r="U62" s="85">
        <f t="shared" si="167"/>
        <v>0</v>
      </c>
      <c r="V62" s="62">
        <f t="shared" si="141"/>
        <v>3569</v>
      </c>
      <c r="W62" s="85">
        <f t="shared" ref="W62:X62" si="168">W51</f>
        <v>0</v>
      </c>
      <c r="X62" s="85">
        <f t="shared" si="168"/>
        <v>0</v>
      </c>
      <c r="Y62" s="85">
        <f t="shared" ref="Y62:Z62" si="169">Y51</f>
        <v>0</v>
      </c>
      <c r="Z62" s="85">
        <f t="shared" si="169"/>
        <v>0</v>
      </c>
      <c r="AA62" s="62">
        <f t="shared" si="144"/>
        <v>0</v>
      </c>
      <c r="AB62" s="85">
        <f t="shared" ref="AB62:AC62" si="170">AB51</f>
        <v>0</v>
      </c>
      <c r="AC62" s="85">
        <f t="shared" si="170"/>
        <v>0</v>
      </c>
      <c r="AD62" s="85">
        <f t="shared" ref="AD62:AE62" si="171">AD51</f>
        <v>0</v>
      </c>
      <c r="AE62" s="85">
        <f t="shared" si="171"/>
        <v>0</v>
      </c>
      <c r="AF62" s="62">
        <f t="shared" si="147"/>
        <v>0</v>
      </c>
      <c r="AG62" s="85">
        <f t="shared" ref="AG62" si="172">AG51</f>
        <v>0</v>
      </c>
    </row>
    <row r="63" spans="2:33" s="9" customFormat="1" ht="15" customHeight="1">
      <c r="B63" s="95" t="s">
        <v>212</v>
      </c>
      <c r="C63" s="10"/>
      <c r="D63" s="10"/>
      <c r="E63" s="10"/>
      <c r="F63" s="10"/>
      <c r="G63" s="67">
        <v>0</v>
      </c>
      <c r="H63" s="68">
        <v>0</v>
      </c>
      <c r="I63" s="68">
        <v>0</v>
      </c>
      <c r="J63" s="68">
        <v>0</v>
      </c>
      <c r="K63" s="68">
        <v>0</v>
      </c>
      <c r="L63" s="67">
        <f t="shared" si="136"/>
        <v>0</v>
      </c>
      <c r="M63" s="68">
        <v>0</v>
      </c>
      <c r="N63" s="68">
        <v>0</v>
      </c>
      <c r="O63" s="68">
        <v>0</v>
      </c>
      <c r="P63" s="68">
        <v>0</v>
      </c>
      <c r="Q63" s="67">
        <f t="shared" si="138"/>
        <v>0</v>
      </c>
      <c r="R63" s="68">
        <v>0</v>
      </c>
      <c r="S63" s="68">
        <v>0</v>
      </c>
      <c r="T63" s="68">
        <v>0</v>
      </c>
      <c r="U63" s="68">
        <v>0</v>
      </c>
      <c r="V63" s="67">
        <f t="shared" si="141"/>
        <v>0</v>
      </c>
      <c r="W63" s="68">
        <v>0</v>
      </c>
      <c r="X63" s="68">
        <v>0</v>
      </c>
      <c r="Y63" s="68">
        <v>0</v>
      </c>
      <c r="Z63" s="68">
        <v>0</v>
      </c>
      <c r="AA63" s="67">
        <f t="shared" si="144"/>
        <v>0</v>
      </c>
      <c r="AB63" s="68">
        <v>-30052</v>
      </c>
      <c r="AC63" s="68">
        <v>0</v>
      </c>
      <c r="AD63" s="68">
        <v>-183</v>
      </c>
      <c r="AE63" s="68">
        <v>0</v>
      </c>
      <c r="AF63" s="67">
        <f t="shared" si="147"/>
        <v>-30235</v>
      </c>
      <c r="AG63" s="68">
        <v>0</v>
      </c>
    </row>
    <row r="64" spans="2:33" s="84" customFormat="1" ht="30" customHeight="1">
      <c r="B64" s="296" t="s">
        <v>198</v>
      </c>
      <c r="C64" s="88"/>
      <c r="D64" s="88"/>
      <c r="E64" s="88"/>
      <c r="F64" s="88"/>
      <c r="G64" s="89">
        <f t="shared" ref="G64:AC64" si="173">G55+SUM(G58:G63)</f>
        <v>-59035.895069999999</v>
      </c>
      <c r="H64" s="88">
        <f t="shared" si="173"/>
        <v>-14924</v>
      </c>
      <c r="I64" s="88">
        <f t="shared" si="173"/>
        <v>-10415</v>
      </c>
      <c r="J64" s="88">
        <f t="shared" si="173"/>
        <v>-3575.9000000000015</v>
      </c>
      <c r="K64" s="88">
        <f t="shared" si="173"/>
        <v>-6837</v>
      </c>
      <c r="L64" s="89">
        <f t="shared" si="173"/>
        <v>-35751.899999999994</v>
      </c>
      <c r="M64" s="88">
        <f t="shared" si="173"/>
        <v>-5477</v>
      </c>
      <c r="N64" s="88">
        <f t="shared" si="173"/>
        <v>-14654</v>
      </c>
      <c r="O64" s="88">
        <f t="shared" si="173"/>
        <v>-664</v>
      </c>
      <c r="P64" s="88">
        <f t="shared" si="173"/>
        <v>-14119</v>
      </c>
      <c r="Q64" s="89">
        <f t="shared" si="173"/>
        <v>-34914</v>
      </c>
      <c r="R64" s="88">
        <f t="shared" si="173"/>
        <v>-16558</v>
      </c>
      <c r="S64" s="88">
        <f t="shared" si="173"/>
        <v>-15062</v>
      </c>
      <c r="T64" s="88">
        <f t="shared" si="173"/>
        <v>-2430</v>
      </c>
      <c r="U64" s="88">
        <f t="shared" si="173"/>
        <v>-14428</v>
      </c>
      <c r="V64" s="89">
        <f t="shared" si="173"/>
        <v>-48478</v>
      </c>
      <c r="W64" s="88">
        <f t="shared" si="173"/>
        <v>1847</v>
      </c>
      <c r="X64" s="88">
        <f t="shared" si="173"/>
        <v>1116</v>
      </c>
      <c r="Y64" s="88">
        <f t="shared" si="173"/>
        <v>12234</v>
      </c>
      <c r="Z64" s="88">
        <f t="shared" si="173"/>
        <v>334</v>
      </c>
      <c r="AA64" s="89">
        <f t="shared" si="173"/>
        <v>15531</v>
      </c>
      <c r="AB64" s="88">
        <f t="shared" si="173"/>
        <v>7367</v>
      </c>
      <c r="AC64" s="88">
        <f t="shared" si="173"/>
        <v>17819</v>
      </c>
      <c r="AD64" s="88">
        <f t="shared" ref="AD64" si="174">AD55+SUM(AD58:AD63)</f>
        <v>14195</v>
      </c>
      <c r="AE64" s="88">
        <f t="shared" ref="AE64:AF64" si="175">AE55+SUM(AE58:AE63)</f>
        <v>2756</v>
      </c>
      <c r="AF64" s="89">
        <f t="shared" si="175"/>
        <v>42137</v>
      </c>
      <c r="AG64" s="88">
        <f t="shared" ref="AG64" si="176">AG55+SUM(AG58:AG63)</f>
        <v>4704</v>
      </c>
    </row>
    <row r="65" spans="2:33" ht="15" customHeight="1">
      <c r="B65" s="58" t="s">
        <v>0</v>
      </c>
      <c r="G65" s="59">
        <f t="shared" ref="G65" si="177">G64/G$10</f>
        <v>-0.33781125583657584</v>
      </c>
      <c r="H65" s="72">
        <f t="shared" ref="H65" si="178">H64/H$10</f>
        <v>-0.31918215454370469</v>
      </c>
      <c r="I65" s="72">
        <f t="shared" ref="I65" si="179">I64/I$10</f>
        <v>-0.19282394978986539</v>
      </c>
      <c r="J65" s="72">
        <f t="shared" ref="J65" si="180">J64/J$10</f>
        <v>-6.0484430236295079E-2</v>
      </c>
      <c r="K65" s="72">
        <f t="shared" ref="K65" si="181">K64/K$10</f>
        <v>-0.11355256601893374</v>
      </c>
      <c r="L65" s="59">
        <f t="shared" ref="L65" si="182">L64/L$10</f>
        <v>-0.16243406436136135</v>
      </c>
      <c r="M65" s="72">
        <f t="shared" ref="M65" si="183">M64/M$10</f>
        <v>-8.7672680123577346E-2</v>
      </c>
      <c r="N65" s="72">
        <f t="shared" ref="N65" si="184">N64/N$10</f>
        <v>-0.22610010491884219</v>
      </c>
      <c r="O65" s="72">
        <f t="shared" ref="O65" si="185">O64/O$10</f>
        <v>-8.2978218217717847E-3</v>
      </c>
      <c r="P65" s="72">
        <f t="shared" ref="P65" si="186">P64/P$10</f>
        <v>-0.1802824454772971</v>
      </c>
      <c r="Q65" s="59">
        <f>Q64/Q$10</f>
        <v>-0.12223933898186401</v>
      </c>
      <c r="R65" s="72">
        <f t="shared" ref="R65:S65" si="187">R64/R$10</f>
        <v>-0.20067627346656811</v>
      </c>
      <c r="S65" s="72">
        <f t="shared" si="187"/>
        <v>-0.16709006800306181</v>
      </c>
      <c r="T65" s="72">
        <f t="shared" ref="T65:U65" si="188">T64/T$10</f>
        <v>-2.3772953618282675E-2</v>
      </c>
      <c r="U65" s="72">
        <f t="shared" si="188"/>
        <v>-0.13649823558906726</v>
      </c>
      <c r="V65" s="59">
        <f>V64/V$10</f>
        <v>-0.12738194086795665</v>
      </c>
      <c r="W65" s="72">
        <f t="shared" ref="W65:X65" si="189">W64/W$10</f>
        <v>1.8574574856441768E-2</v>
      </c>
      <c r="X65" s="72">
        <f t="shared" si="189"/>
        <v>1.0662997678218248E-2</v>
      </c>
      <c r="Y65" s="72">
        <f t="shared" ref="Y65:Z65" si="190">Y64/Y$10</f>
        <v>0.10216027990948034</v>
      </c>
      <c r="Z65" s="72">
        <f t="shared" si="190"/>
        <v>2.802601216698133E-3</v>
      </c>
      <c r="AA65" s="59">
        <f>AA64/AA$10</f>
        <v>3.5056633245001419E-2</v>
      </c>
      <c r="AB65" s="72">
        <f t="shared" ref="AB65:AC65" si="191">AB64/AB$10</f>
        <v>6.1887800534283173E-2</v>
      </c>
      <c r="AC65" s="72">
        <f t="shared" si="191"/>
        <v>0.1399874302773195</v>
      </c>
      <c r="AD65" s="72">
        <f t="shared" ref="AD65:AE65" si="192">AD64/AD$10</f>
        <v>0.10095729851213336</v>
      </c>
      <c r="AE65" s="72">
        <f t="shared" si="192"/>
        <v>1.9446110425119068E-2</v>
      </c>
      <c r="AF65" s="59">
        <f>AF64/AF$10</f>
        <v>7.9705744934806505E-2</v>
      </c>
      <c r="AG65" s="72">
        <f t="shared" ref="AG65" si="193">AG64/AG$10</f>
        <v>3.3070168655048054E-2</v>
      </c>
    </row>
    <row r="66" spans="2:33" ht="15" customHeight="1">
      <c r="G66" s="102"/>
      <c r="L66" s="102"/>
      <c r="Q66" s="102"/>
      <c r="V66" s="102"/>
      <c r="AA66" s="102"/>
      <c r="AF66" s="102"/>
    </row>
    <row r="67" spans="2:33" ht="15" customHeight="1">
      <c r="B67" s="45" t="s">
        <v>181</v>
      </c>
    </row>
    <row r="68" spans="2:33" ht="15" customHeight="1">
      <c r="L68" s="103"/>
      <c r="P68" s="1"/>
    </row>
    <row r="69" spans="2:33" ht="15" customHeight="1">
      <c r="L69" s="103"/>
    </row>
    <row r="78" spans="2:33" ht="15" customHeight="1">
      <c r="C78" s="104"/>
      <c r="D78" s="104"/>
      <c r="E78" s="104"/>
      <c r="F78" s="104"/>
      <c r="G78" s="105"/>
      <c r="H78" s="104"/>
      <c r="I78" s="104"/>
      <c r="J78" s="104"/>
      <c r="K78" s="104"/>
      <c r="L78" s="105"/>
      <c r="M78" s="104"/>
      <c r="N78" s="104"/>
      <c r="O78" s="104"/>
      <c r="P78" s="104"/>
      <c r="Q78" s="105"/>
      <c r="R78" s="104"/>
      <c r="S78" s="104"/>
      <c r="T78" s="104"/>
      <c r="U78" s="104"/>
      <c r="V78" s="105"/>
      <c r="W78" s="104"/>
      <c r="X78" s="104"/>
      <c r="Y78" s="104"/>
      <c r="Z78" s="104"/>
      <c r="AA78" s="105"/>
      <c r="AB78" s="104"/>
      <c r="AC78" s="104"/>
      <c r="AD78" s="104"/>
      <c r="AE78" s="104"/>
      <c r="AF78" s="105"/>
      <c r="AG78" s="104"/>
    </row>
  </sheetData>
  <hyperlinks>
    <hyperlink ref="G5" location="Cover!A1" display="Back to Main" xr:uid="{79D79024-C84D-44CF-BB95-ABE8C5813435}"/>
  </hyperlinks>
  <pageMargins left="0.25" right="0.25" top="0.5" bottom="0.5" header="0.3" footer="0.55000000000000004"/>
  <pageSetup scale="53"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J63"/>
  <sheetViews>
    <sheetView showGridLines="0" zoomScale="80" zoomScaleNormal="80" zoomScaleSheetLayoutView="80" workbookViewId="0">
      <pane xSplit="2" ySplit="9" topLeftCell="U10" activePane="bottomRight" state="frozen"/>
      <selection pane="topRight"/>
      <selection pane="bottomLeft"/>
      <selection pane="bottomRight" activeCell="AG23" sqref="AG23"/>
    </sheetView>
  </sheetViews>
  <sheetFormatPr defaultColWidth="8.7109375" defaultRowHeight="15" customHeight="1" outlineLevelRow="1" outlineLevelCol="1"/>
  <cols>
    <col min="1" max="1" width="5.5703125" style="1" customWidth="1"/>
    <col min="2" max="2" width="37.42578125" style="1" customWidth="1"/>
    <col min="3" max="6" width="10.5703125" style="107" hidden="1" customWidth="1" outlineLevel="1"/>
    <col min="7" max="7" width="10.5703125" style="107" customWidth="1" collapsed="1"/>
    <col min="8" max="33" width="10.5703125" style="107" customWidth="1"/>
    <col min="34" max="35" width="8.7109375" style="1"/>
    <col min="36" max="37" width="10.28515625" style="1" customWidth="1"/>
    <col min="38" max="16384" width="8.7109375" style="1"/>
  </cols>
  <sheetData>
    <row r="5" spans="2:36" ht="15" customHeight="1">
      <c r="B5" s="106"/>
      <c r="C5" s="1"/>
      <c r="G5" s="108" t="s">
        <v>46</v>
      </c>
    </row>
    <row r="6" spans="2:36" s="9" customFormat="1" ht="15" customHeight="1">
      <c r="B6" s="11" t="s">
        <v>45</v>
      </c>
      <c r="C6" s="12"/>
      <c r="D6" s="12"/>
      <c r="E6" s="12"/>
      <c r="F6" s="12"/>
      <c r="G6" s="12"/>
      <c r="H6" s="13"/>
      <c r="I6" s="13"/>
      <c r="J6" s="13"/>
      <c r="K6" s="13"/>
      <c r="L6" s="12"/>
      <c r="M6" s="13"/>
      <c r="N6" s="13"/>
      <c r="O6" s="13"/>
      <c r="P6" s="13"/>
      <c r="Q6" s="12"/>
      <c r="R6" s="13"/>
      <c r="S6" s="13"/>
      <c r="T6" s="13"/>
      <c r="U6" s="13"/>
      <c r="V6" s="12"/>
      <c r="W6" s="13"/>
      <c r="X6" s="13"/>
      <c r="Y6" s="13"/>
      <c r="Z6" s="13"/>
      <c r="AA6" s="12"/>
      <c r="AB6" s="13"/>
      <c r="AC6" s="13"/>
      <c r="AD6" s="13"/>
      <c r="AE6" s="13"/>
      <c r="AF6" s="12"/>
      <c r="AG6" s="13"/>
    </row>
    <row r="7" spans="2:36" s="9" customFormat="1" ht="15" customHeight="1">
      <c r="B7" s="109" t="s">
        <v>149</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row>
    <row r="8" spans="2:36" s="9" customFormat="1" ht="15" customHeight="1">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row>
    <row r="9" spans="2:36" s="111" customFormat="1" ht="15" customHeight="1">
      <c r="C9" s="50" t="s">
        <v>119</v>
      </c>
      <c r="D9" s="50" t="s">
        <v>120</v>
      </c>
      <c r="E9" s="50" t="s">
        <v>121</v>
      </c>
      <c r="F9" s="50" t="s">
        <v>118</v>
      </c>
      <c r="G9" s="51" t="s">
        <v>117</v>
      </c>
      <c r="H9" s="50" t="s">
        <v>75</v>
      </c>
      <c r="I9" s="50" t="s">
        <v>76</v>
      </c>
      <c r="J9" s="50" t="s">
        <v>77</v>
      </c>
      <c r="K9" s="50" t="s">
        <v>78</v>
      </c>
      <c r="L9" s="51" t="s">
        <v>44</v>
      </c>
      <c r="M9" s="50" t="s">
        <v>79</v>
      </c>
      <c r="N9" s="50" t="s">
        <v>80</v>
      </c>
      <c r="O9" s="50" t="s">
        <v>81</v>
      </c>
      <c r="P9" s="50" t="s">
        <v>82</v>
      </c>
      <c r="Q9" s="51" t="s">
        <v>83</v>
      </c>
      <c r="R9" s="50" t="s">
        <v>151</v>
      </c>
      <c r="S9" s="50" t="s">
        <v>150</v>
      </c>
      <c r="T9" s="50" t="s">
        <v>189</v>
      </c>
      <c r="U9" s="50" t="s">
        <v>190</v>
      </c>
      <c r="V9" s="51" t="s">
        <v>191</v>
      </c>
      <c r="W9" s="50" t="s">
        <v>193</v>
      </c>
      <c r="X9" s="50" t="s">
        <v>194</v>
      </c>
      <c r="Y9" s="50" t="s">
        <v>199</v>
      </c>
      <c r="Z9" s="50" t="s">
        <v>204</v>
      </c>
      <c r="AA9" s="51" t="s">
        <v>203</v>
      </c>
      <c r="AB9" s="50" t="s">
        <v>205</v>
      </c>
      <c r="AC9" s="50" t="s">
        <v>213</v>
      </c>
      <c r="AD9" s="50" t="s">
        <v>217</v>
      </c>
      <c r="AE9" s="50" t="s">
        <v>219</v>
      </c>
      <c r="AF9" s="51" t="s">
        <v>218</v>
      </c>
      <c r="AG9" s="50" t="s">
        <v>221</v>
      </c>
    </row>
    <row r="10" spans="2:36" ht="15" customHeight="1">
      <c r="B10" s="78" t="s">
        <v>43</v>
      </c>
      <c r="C10" s="112"/>
      <c r="D10" s="112"/>
      <c r="E10" s="112"/>
      <c r="F10" s="112"/>
      <c r="G10" s="113"/>
      <c r="H10" s="112"/>
      <c r="I10" s="112"/>
      <c r="J10" s="112"/>
      <c r="K10" s="112"/>
      <c r="L10" s="113"/>
      <c r="M10" s="112"/>
      <c r="N10" s="112"/>
      <c r="O10" s="112"/>
      <c r="P10" s="112"/>
      <c r="Q10" s="113"/>
      <c r="R10" s="112"/>
      <c r="S10" s="112"/>
      <c r="T10" s="112"/>
      <c r="U10" s="112"/>
      <c r="V10" s="113"/>
      <c r="W10" s="112"/>
      <c r="X10" s="112"/>
      <c r="Y10" s="112"/>
      <c r="Z10" s="112"/>
      <c r="AA10" s="113"/>
      <c r="AB10" s="112"/>
      <c r="AC10" s="112"/>
      <c r="AD10" s="112"/>
      <c r="AE10" s="112"/>
      <c r="AF10" s="113"/>
      <c r="AG10" s="112"/>
    </row>
    <row r="11" spans="2:36" ht="15" customHeight="1">
      <c r="B11" s="114" t="s">
        <v>30</v>
      </c>
      <c r="C11" s="115">
        <v>22518</v>
      </c>
      <c r="D11" s="115">
        <v>26142.94248000002</v>
      </c>
      <c r="E11" s="115">
        <v>30299.458300000038</v>
      </c>
      <c r="F11" s="115">
        <v>35570.636430000028</v>
      </c>
      <c r="G11" s="116">
        <v>114531.12591000009</v>
      </c>
      <c r="H11" s="115">
        <v>37077.221460000073</v>
      </c>
      <c r="I11" s="115">
        <v>42291.694209999965</v>
      </c>
      <c r="J11" s="115">
        <v>45788.568579999977</v>
      </c>
      <c r="K11" s="115">
        <v>46896.649709999947</v>
      </c>
      <c r="L11" s="116">
        <v>172054.13395999998</v>
      </c>
      <c r="M11" s="115">
        <v>51328.6643900001</v>
      </c>
      <c r="N11" s="115">
        <v>54852.674740000024</v>
      </c>
      <c r="O11" s="115">
        <v>65002.639440000006</v>
      </c>
      <c r="P11" s="115">
        <v>65534</v>
      </c>
      <c r="Q11" s="116">
        <f>SUM(M11:P11)</f>
        <v>236717.97857000012</v>
      </c>
      <c r="R11" s="115">
        <v>68326</v>
      </c>
      <c r="S11" s="248">
        <v>71967</v>
      </c>
      <c r="T11" s="248">
        <v>81554</v>
      </c>
      <c r="U11" s="115">
        <v>83832</v>
      </c>
      <c r="V11" s="116">
        <f>SUM(R11:U11)</f>
        <v>305679</v>
      </c>
      <c r="W11" s="115">
        <v>82915</v>
      </c>
      <c r="X11" s="248">
        <v>85784</v>
      </c>
      <c r="Y11" s="248">
        <v>93431</v>
      </c>
      <c r="Z11" s="115">
        <v>94467</v>
      </c>
      <c r="AA11" s="116">
        <f>SUM(W11:Z11)</f>
        <v>356597</v>
      </c>
      <c r="AB11" s="115">
        <v>96510</v>
      </c>
      <c r="AC11" s="115">
        <v>105420</v>
      </c>
      <c r="AD11" s="115">
        <v>111115</v>
      </c>
      <c r="AE11" s="115">
        <v>115572</v>
      </c>
      <c r="AF11" s="116">
        <f>SUM(AB11:AE11)</f>
        <v>428617</v>
      </c>
      <c r="AG11" s="115">
        <v>115733</v>
      </c>
      <c r="AJ11" s="302"/>
    </row>
    <row r="12" spans="2:36" ht="15" customHeight="1">
      <c r="B12" s="117" t="s">
        <v>31</v>
      </c>
      <c r="C12" s="118">
        <v>10539</v>
      </c>
      <c r="D12" s="118">
        <v>8457.0457219710006</v>
      </c>
      <c r="E12" s="118">
        <v>10917.709193245988</v>
      </c>
      <c r="F12" s="118">
        <v>9940.0451999999896</v>
      </c>
      <c r="G12" s="119">
        <f>G13-G11</f>
        <v>60228.87408999991</v>
      </c>
      <c r="H12" s="118">
        <v>9679.7785399999939</v>
      </c>
      <c r="I12" s="118">
        <v>11721.305790000002</v>
      </c>
      <c r="J12" s="118">
        <v>13332.431420000003</v>
      </c>
      <c r="K12" s="118">
        <v>13313.350290000013</v>
      </c>
      <c r="L12" s="119">
        <v>48046.866040000015</v>
      </c>
      <c r="M12" s="118">
        <v>11142.33561</v>
      </c>
      <c r="N12" s="118">
        <v>9959.3252599999796</v>
      </c>
      <c r="O12" s="118">
        <v>15018.480099999984</v>
      </c>
      <c r="P12" s="118">
        <v>12782</v>
      </c>
      <c r="Q12" s="119">
        <f>SUM(M12:P12)</f>
        <v>48902.140969999964</v>
      </c>
      <c r="R12" s="118">
        <v>14185</v>
      </c>
      <c r="S12" s="251">
        <v>18176</v>
      </c>
      <c r="T12" s="251">
        <v>20663</v>
      </c>
      <c r="U12" s="118">
        <v>21869</v>
      </c>
      <c r="V12" s="119">
        <f>SUM(R12:U12)</f>
        <v>74893</v>
      </c>
      <c r="W12" s="118">
        <v>16522</v>
      </c>
      <c r="X12" s="251">
        <v>18877</v>
      </c>
      <c r="Y12" s="251">
        <v>26322</v>
      </c>
      <c r="Z12" s="118">
        <v>24708</v>
      </c>
      <c r="AA12" s="119">
        <f>SUM(W12:Z12)</f>
        <v>86429</v>
      </c>
      <c r="AB12" s="118">
        <v>22528</v>
      </c>
      <c r="AC12" s="118">
        <v>21870</v>
      </c>
      <c r="AD12" s="118">
        <v>29488</v>
      </c>
      <c r="AE12" s="118">
        <v>26154</v>
      </c>
      <c r="AF12" s="119">
        <f>SUM(AB12:AE12)</f>
        <v>100040</v>
      </c>
      <c r="AG12" s="118">
        <v>26510</v>
      </c>
      <c r="AJ12" s="302"/>
    </row>
    <row r="13" spans="2:36" s="77" customFormat="1" ht="15" customHeight="1">
      <c r="B13" s="77" t="s">
        <v>32</v>
      </c>
      <c r="C13" s="120">
        <v>33057</v>
      </c>
      <c r="D13" s="120">
        <v>34599.988201971028</v>
      </c>
      <c r="E13" s="120">
        <v>41217.167493246023</v>
      </c>
      <c r="F13" s="120">
        <v>45510.681630000021</v>
      </c>
      <c r="G13" s="121">
        <v>174760</v>
      </c>
      <c r="H13" s="120">
        <v>46757</v>
      </c>
      <c r="I13" s="120">
        <v>54013</v>
      </c>
      <c r="J13" s="120">
        <v>59121</v>
      </c>
      <c r="K13" s="120">
        <v>60210</v>
      </c>
      <c r="L13" s="121">
        <v>220101</v>
      </c>
      <c r="M13" s="120">
        <v>62471</v>
      </c>
      <c r="N13" s="120">
        <v>64812</v>
      </c>
      <c r="O13" s="120">
        <v>80021</v>
      </c>
      <c r="P13" s="120">
        <f>SUM(P11:P12)</f>
        <v>78316</v>
      </c>
      <c r="Q13" s="121">
        <f>SUM(M13:P13)</f>
        <v>285620</v>
      </c>
      <c r="R13" s="120">
        <f>SUM(R11:R12)</f>
        <v>82511</v>
      </c>
      <c r="S13" s="250">
        <f>SUM(S11:S12)</f>
        <v>90143</v>
      </c>
      <c r="T13" s="250">
        <f>SUM(T11:T12)</f>
        <v>102217</v>
      </c>
      <c r="U13" s="120">
        <f>SUM(U11:U12)</f>
        <v>105701</v>
      </c>
      <c r="V13" s="121">
        <f>SUM(R13:U13)</f>
        <v>380572</v>
      </c>
      <c r="W13" s="120">
        <f>SUM(W11:W12)</f>
        <v>99437</v>
      </c>
      <c r="X13" s="250">
        <f>SUM(X11:X12)</f>
        <v>104661</v>
      </c>
      <c r="Y13" s="250">
        <f>SUM(Y11:Y12)</f>
        <v>119753</v>
      </c>
      <c r="Z13" s="120">
        <f>SUM(Z11:Z12)</f>
        <v>119175</v>
      </c>
      <c r="AA13" s="121">
        <f>SUM(W13:Z13)</f>
        <v>443026</v>
      </c>
      <c r="AB13" s="120">
        <f>SUM(AB11:AB12)</f>
        <v>119038</v>
      </c>
      <c r="AC13" s="120">
        <f>SUM(AC11:AC12)</f>
        <v>127290</v>
      </c>
      <c r="AD13" s="120">
        <f>SUM(AD11:AD12)</f>
        <v>140603</v>
      </c>
      <c r="AE13" s="120">
        <f>SUM(AE11:AE12)</f>
        <v>141726</v>
      </c>
      <c r="AF13" s="121">
        <f>SUM(AB13:AE13)</f>
        <v>528657</v>
      </c>
      <c r="AG13" s="120">
        <f>SUM(AG11:AG12)</f>
        <v>142243</v>
      </c>
    </row>
    <row r="14" spans="2:36" s="48" customFormat="1" ht="15" customHeight="1">
      <c r="B14" s="77"/>
      <c r="C14" s="122"/>
      <c r="D14" s="122"/>
      <c r="E14" s="122"/>
      <c r="F14" s="122"/>
      <c r="G14" s="123"/>
      <c r="H14" s="122"/>
      <c r="I14" s="122"/>
      <c r="J14" s="122"/>
      <c r="K14" s="122"/>
      <c r="L14" s="123"/>
      <c r="M14" s="122"/>
      <c r="N14" s="122"/>
      <c r="O14" s="122"/>
      <c r="P14" s="122"/>
      <c r="Q14" s="123"/>
      <c r="R14" s="122"/>
      <c r="S14" s="122"/>
      <c r="T14" s="122"/>
      <c r="U14" s="122"/>
      <c r="V14" s="123"/>
      <c r="W14" s="122"/>
      <c r="X14" s="122"/>
      <c r="Y14" s="122"/>
      <c r="Z14" s="122"/>
      <c r="AA14" s="123"/>
      <c r="AB14" s="122"/>
      <c r="AC14" s="122"/>
      <c r="AD14" s="122"/>
      <c r="AE14" s="122"/>
      <c r="AF14" s="123"/>
      <c r="AG14" s="122"/>
    </row>
    <row r="15" spans="2:36" s="48" customFormat="1" ht="15" customHeight="1">
      <c r="B15" s="77" t="s">
        <v>40</v>
      </c>
      <c r="C15" s="122"/>
      <c r="D15" s="122"/>
      <c r="E15" s="122"/>
      <c r="F15" s="122"/>
      <c r="G15" s="123"/>
      <c r="H15" s="122"/>
      <c r="I15" s="122"/>
      <c r="J15" s="122"/>
      <c r="K15" s="122"/>
      <c r="L15" s="123"/>
      <c r="M15" s="122"/>
      <c r="N15" s="122"/>
      <c r="O15" s="122"/>
      <c r="P15" s="122"/>
      <c r="Q15" s="123"/>
      <c r="R15" s="122"/>
      <c r="S15" s="122"/>
      <c r="T15" s="122"/>
      <c r="U15" s="122"/>
      <c r="V15" s="123"/>
      <c r="W15" s="122"/>
      <c r="X15" s="122"/>
      <c r="Y15" s="122"/>
      <c r="Z15" s="122"/>
      <c r="AA15" s="123"/>
      <c r="AB15" s="122"/>
      <c r="AC15" s="122"/>
      <c r="AD15" s="122"/>
      <c r="AE15" s="122"/>
      <c r="AF15" s="123"/>
      <c r="AG15" s="122"/>
    </row>
    <row r="16" spans="2:36" s="48" customFormat="1" ht="15" customHeight="1">
      <c r="B16" s="114" t="s">
        <v>41</v>
      </c>
      <c r="C16" s="115">
        <v>30074</v>
      </c>
      <c r="D16" s="115">
        <v>32046</v>
      </c>
      <c r="E16" s="115">
        <v>37632</v>
      </c>
      <c r="F16" s="115">
        <v>42104</v>
      </c>
      <c r="G16" s="116">
        <v>162231</v>
      </c>
      <c r="H16" s="115">
        <v>42117</v>
      </c>
      <c r="I16" s="115">
        <v>49153</v>
      </c>
      <c r="J16" s="115">
        <v>52666</v>
      </c>
      <c r="K16" s="115">
        <v>53677</v>
      </c>
      <c r="L16" s="116">
        <v>197613</v>
      </c>
      <c r="M16" s="115">
        <v>56222</v>
      </c>
      <c r="N16" s="115">
        <v>59959</v>
      </c>
      <c r="O16" s="115">
        <v>73811</v>
      </c>
      <c r="P16" s="115">
        <v>72143</v>
      </c>
      <c r="Q16" s="116">
        <v>262135</v>
      </c>
      <c r="R16" s="115">
        <v>76541</v>
      </c>
      <c r="S16" s="248">
        <v>83907</v>
      </c>
      <c r="T16" s="252">
        <v>95447</v>
      </c>
      <c r="U16" s="115">
        <v>98542</v>
      </c>
      <c r="V16" s="116">
        <f>SUM(R16:U16)</f>
        <v>354437</v>
      </c>
      <c r="W16" s="115">
        <v>93382</v>
      </c>
      <c r="X16" s="248">
        <v>98105</v>
      </c>
      <c r="Y16" s="252">
        <v>112406</v>
      </c>
      <c r="Z16" s="115">
        <v>112082</v>
      </c>
      <c r="AA16" s="116">
        <f>SUM(W16:Z16)</f>
        <v>415975</v>
      </c>
      <c r="AB16" s="115">
        <v>111670</v>
      </c>
      <c r="AC16" s="115">
        <v>119630</v>
      </c>
      <c r="AD16" s="294">
        <v>132146</v>
      </c>
      <c r="AE16" s="115">
        <v>132319</v>
      </c>
      <c r="AF16" s="116">
        <f>SUM(AB16:AE16)</f>
        <v>495765</v>
      </c>
      <c r="AG16" s="115">
        <v>132069</v>
      </c>
    </row>
    <row r="17" spans="2:33" s="48" customFormat="1" ht="15" customHeight="1">
      <c r="B17" s="117" t="s">
        <v>42</v>
      </c>
      <c r="C17" s="118">
        <v>2983</v>
      </c>
      <c r="D17" s="118">
        <v>2553.9882019710276</v>
      </c>
      <c r="E17" s="118">
        <v>3585.1674932460228</v>
      </c>
      <c r="F17" s="118">
        <v>3406.681630000021</v>
      </c>
      <c r="G17" s="119">
        <v>12529</v>
      </c>
      <c r="H17" s="118">
        <v>4640</v>
      </c>
      <c r="I17" s="118">
        <v>4860</v>
      </c>
      <c r="J17" s="118">
        <v>6455</v>
      </c>
      <c r="K17" s="118">
        <v>6533</v>
      </c>
      <c r="L17" s="119">
        <v>22488</v>
      </c>
      <c r="M17" s="118">
        <v>6249</v>
      </c>
      <c r="N17" s="118">
        <v>4853</v>
      </c>
      <c r="O17" s="118">
        <v>6210</v>
      </c>
      <c r="P17" s="118">
        <v>6173</v>
      </c>
      <c r="Q17" s="119">
        <v>23485</v>
      </c>
      <c r="R17" s="118">
        <v>5970</v>
      </c>
      <c r="S17" s="249">
        <v>6236</v>
      </c>
      <c r="T17" s="253">
        <v>6770</v>
      </c>
      <c r="U17" s="118">
        <v>7159</v>
      </c>
      <c r="V17" s="119">
        <f>SUM(R17:U17)</f>
        <v>26135</v>
      </c>
      <c r="W17" s="118">
        <v>6055</v>
      </c>
      <c r="X17" s="249">
        <v>6556</v>
      </c>
      <c r="Y17" s="253">
        <v>7347</v>
      </c>
      <c r="Z17" s="118">
        <v>7093</v>
      </c>
      <c r="AA17" s="119">
        <f>SUM(W17:Z17)</f>
        <v>27051</v>
      </c>
      <c r="AB17" s="118">
        <v>7368</v>
      </c>
      <c r="AC17" s="118">
        <v>7660</v>
      </c>
      <c r="AD17" s="295">
        <v>8457</v>
      </c>
      <c r="AE17" s="118">
        <v>9407</v>
      </c>
      <c r="AF17" s="119">
        <f>SUM(AB17:AE17)</f>
        <v>32892</v>
      </c>
      <c r="AG17" s="118">
        <v>10174</v>
      </c>
    </row>
    <row r="18" spans="2:33" s="77" customFormat="1" ht="15" customHeight="1">
      <c r="B18" s="77" t="s">
        <v>32</v>
      </c>
      <c r="C18" s="124">
        <f>C16+C17</f>
        <v>33057</v>
      </c>
      <c r="D18" s="124">
        <f t="shared" ref="D18:Q18" si="0">D16+D17</f>
        <v>34599.988201971028</v>
      </c>
      <c r="E18" s="124">
        <f t="shared" si="0"/>
        <v>41217.167493246023</v>
      </c>
      <c r="F18" s="124">
        <f t="shared" si="0"/>
        <v>45510.681630000021</v>
      </c>
      <c r="G18" s="125">
        <f t="shared" si="0"/>
        <v>174760</v>
      </c>
      <c r="H18" s="124">
        <f t="shared" si="0"/>
        <v>46757</v>
      </c>
      <c r="I18" s="124">
        <f t="shared" si="0"/>
        <v>54013</v>
      </c>
      <c r="J18" s="124">
        <f t="shared" si="0"/>
        <v>59121</v>
      </c>
      <c r="K18" s="124">
        <f t="shared" si="0"/>
        <v>60210</v>
      </c>
      <c r="L18" s="125">
        <f t="shared" si="0"/>
        <v>220101</v>
      </c>
      <c r="M18" s="124">
        <f t="shared" si="0"/>
        <v>62471</v>
      </c>
      <c r="N18" s="124">
        <f t="shared" si="0"/>
        <v>64812</v>
      </c>
      <c r="O18" s="124">
        <f t="shared" si="0"/>
        <v>80021</v>
      </c>
      <c r="P18" s="124">
        <f t="shared" si="0"/>
        <v>78316</v>
      </c>
      <c r="Q18" s="125">
        <f t="shared" si="0"/>
        <v>285620</v>
      </c>
      <c r="R18" s="124">
        <f t="shared" ref="R18" si="1">R16+R17</f>
        <v>82511</v>
      </c>
      <c r="S18" s="250">
        <f>SUM(S16:S17)</f>
        <v>90143</v>
      </c>
      <c r="T18" s="254">
        <f>SUM(T16:T17)</f>
        <v>102217</v>
      </c>
      <c r="U18" s="124">
        <f t="shared" ref="U18:W18" si="2">U16+U17</f>
        <v>105701</v>
      </c>
      <c r="V18" s="125">
        <f t="shared" si="2"/>
        <v>380572</v>
      </c>
      <c r="W18" s="124">
        <f t="shared" si="2"/>
        <v>99437</v>
      </c>
      <c r="X18" s="250">
        <f>SUM(X16:X17)</f>
        <v>104661</v>
      </c>
      <c r="Y18" s="254">
        <f>SUM(Y16:Y17)</f>
        <v>119753</v>
      </c>
      <c r="Z18" s="124">
        <f t="shared" ref="Z18:AA18" si="3">Z16+Z17</f>
        <v>119175</v>
      </c>
      <c r="AA18" s="125">
        <f t="shared" si="3"/>
        <v>443026</v>
      </c>
      <c r="AB18" s="124">
        <f t="shared" ref="AB18:AC18" si="4">AB16+AB17</f>
        <v>119038</v>
      </c>
      <c r="AC18" s="124">
        <f t="shared" si="4"/>
        <v>127290</v>
      </c>
      <c r="AD18" s="124">
        <f t="shared" ref="AD18:AF18" si="5">AD16+AD17</f>
        <v>140603</v>
      </c>
      <c r="AE18" s="124">
        <f t="shared" si="5"/>
        <v>141726</v>
      </c>
      <c r="AF18" s="125">
        <f t="shared" si="5"/>
        <v>528657</v>
      </c>
      <c r="AG18" s="124">
        <f t="shared" ref="AG18" si="6">AG16+AG17</f>
        <v>142243</v>
      </c>
    </row>
    <row r="19" spans="2:33" ht="15" hidden="1" customHeight="1" outlineLevel="1">
      <c r="C19" s="107" t="b">
        <f>C13=C18</f>
        <v>1</v>
      </c>
      <c r="D19" s="107" t="b">
        <f t="shared" ref="D19:Q19" si="7">D13=D18</f>
        <v>1</v>
      </c>
      <c r="E19" s="107" t="b">
        <f t="shared" si="7"/>
        <v>1</v>
      </c>
      <c r="F19" s="107" t="b">
        <f t="shared" si="7"/>
        <v>1</v>
      </c>
      <c r="G19" s="126" t="b">
        <f t="shared" si="7"/>
        <v>1</v>
      </c>
      <c r="H19" s="107" t="b">
        <f t="shared" si="7"/>
        <v>1</v>
      </c>
      <c r="I19" s="107" t="b">
        <f t="shared" si="7"/>
        <v>1</v>
      </c>
      <c r="J19" s="107" t="b">
        <f t="shared" si="7"/>
        <v>1</v>
      </c>
      <c r="K19" s="107" t="b">
        <f t="shared" si="7"/>
        <v>1</v>
      </c>
      <c r="L19" s="126" t="b">
        <f t="shared" si="7"/>
        <v>1</v>
      </c>
      <c r="M19" s="107" t="b">
        <f t="shared" si="7"/>
        <v>1</v>
      </c>
      <c r="N19" s="107" t="b">
        <f t="shared" si="7"/>
        <v>1</v>
      </c>
      <c r="O19" s="107" t="b">
        <f t="shared" si="7"/>
        <v>1</v>
      </c>
      <c r="P19" s="107" t="b">
        <f t="shared" si="7"/>
        <v>1</v>
      </c>
      <c r="Q19" s="126" t="b">
        <f t="shared" si="7"/>
        <v>1</v>
      </c>
      <c r="R19" s="107" t="b">
        <f t="shared" ref="R19:S19" si="8">R13=R18</f>
        <v>1</v>
      </c>
      <c r="S19" s="107" t="b">
        <f t="shared" si="8"/>
        <v>1</v>
      </c>
      <c r="T19" s="107" t="b">
        <f t="shared" ref="T19:X19" si="9">T13=T18</f>
        <v>1</v>
      </c>
      <c r="U19" s="107" t="b">
        <f t="shared" si="9"/>
        <v>1</v>
      </c>
      <c r="V19" s="126" t="b">
        <f t="shared" si="9"/>
        <v>1</v>
      </c>
      <c r="W19" s="107" t="b">
        <f t="shared" si="9"/>
        <v>1</v>
      </c>
      <c r="X19" s="107" t="b">
        <f t="shared" si="9"/>
        <v>1</v>
      </c>
      <c r="Y19" s="107" t="b">
        <f t="shared" ref="Y19:AA19" si="10">Y13=Y18</f>
        <v>1</v>
      </c>
      <c r="Z19" s="107" t="b">
        <f t="shared" si="10"/>
        <v>1</v>
      </c>
      <c r="AA19" s="126" t="b">
        <f t="shared" si="10"/>
        <v>1</v>
      </c>
      <c r="AB19" s="107" t="b">
        <f t="shared" ref="AB19:AC19" si="11">AB13=AB18</f>
        <v>1</v>
      </c>
      <c r="AC19" s="107" t="b">
        <f t="shared" si="11"/>
        <v>1</v>
      </c>
      <c r="AD19" s="107" t="b">
        <f t="shared" ref="AD19:AF19" si="12">AD13=AD18</f>
        <v>1</v>
      </c>
      <c r="AE19" s="107" t="b">
        <f t="shared" si="12"/>
        <v>1</v>
      </c>
      <c r="AF19" s="126" t="b">
        <f t="shared" si="12"/>
        <v>1</v>
      </c>
      <c r="AG19" s="107" t="b">
        <f t="shared" ref="AG19" si="13">AG13=AG18</f>
        <v>1</v>
      </c>
    </row>
    <row r="20" spans="2:33" ht="15" customHeight="1" collapsed="1" thickBot="1">
      <c r="G20" s="126"/>
      <c r="L20" s="126"/>
      <c r="Q20" s="126"/>
      <c r="V20" s="126"/>
      <c r="AA20" s="126"/>
      <c r="AF20" s="126"/>
    </row>
    <row r="21" spans="2:33" s="130" customFormat="1" ht="18.600000000000001" customHeight="1" thickTop="1">
      <c r="B21" s="127" t="s">
        <v>109</v>
      </c>
      <c r="C21" s="128">
        <v>15</v>
      </c>
      <c r="D21" s="128">
        <v>18</v>
      </c>
      <c r="E21" s="128">
        <v>21</v>
      </c>
      <c r="F21" s="128">
        <v>28</v>
      </c>
      <c r="G21" s="129">
        <f>F21</f>
        <v>28</v>
      </c>
      <c r="H21" s="128">
        <v>29</v>
      </c>
      <c r="I21" s="128">
        <v>31</v>
      </c>
      <c r="J21" s="128">
        <v>31</v>
      </c>
      <c r="K21" s="128">
        <v>34</v>
      </c>
      <c r="L21" s="129">
        <f>K21</f>
        <v>34</v>
      </c>
      <c r="M21" s="128">
        <v>32</v>
      </c>
      <c r="N21" s="128">
        <v>40</v>
      </c>
      <c r="O21" s="128">
        <v>42</v>
      </c>
      <c r="P21" s="128">
        <v>46</v>
      </c>
      <c r="Q21" s="129">
        <f>P21</f>
        <v>46</v>
      </c>
      <c r="R21" s="128">
        <v>45</v>
      </c>
      <c r="S21" s="128">
        <v>44</v>
      </c>
      <c r="T21" s="279">
        <v>54</v>
      </c>
      <c r="U21" s="279">
        <v>53</v>
      </c>
      <c r="V21" s="129">
        <f>U21</f>
        <v>53</v>
      </c>
      <c r="W21" s="128">
        <v>60</v>
      </c>
      <c r="X21" s="128">
        <v>62</v>
      </c>
      <c r="Y21" s="279">
        <v>65</v>
      </c>
      <c r="Z21" s="279">
        <v>70</v>
      </c>
      <c r="AA21" s="129">
        <f>Z21</f>
        <v>70</v>
      </c>
      <c r="AB21" s="279">
        <v>70</v>
      </c>
      <c r="AC21" s="279">
        <v>80</v>
      </c>
      <c r="AD21" s="279">
        <v>86</v>
      </c>
      <c r="AE21" s="279">
        <v>87</v>
      </c>
      <c r="AF21" s="129">
        <f>AE21</f>
        <v>87</v>
      </c>
      <c r="AG21" s="279">
        <v>90</v>
      </c>
    </row>
    <row r="22" spans="2:33" s="130" customFormat="1" ht="18.600000000000001" customHeight="1" thickBot="1">
      <c r="B22" s="131" t="s">
        <v>110</v>
      </c>
      <c r="C22" s="132">
        <v>275</v>
      </c>
      <c r="D22" s="132">
        <v>320</v>
      </c>
      <c r="E22" s="132">
        <v>370</v>
      </c>
      <c r="F22" s="132">
        <v>402</v>
      </c>
      <c r="G22" s="133">
        <f>F22</f>
        <v>402</v>
      </c>
      <c r="H22" s="132">
        <v>435</v>
      </c>
      <c r="I22" s="132">
        <v>450</v>
      </c>
      <c r="J22" s="132">
        <v>520</v>
      </c>
      <c r="K22" s="132">
        <v>550</v>
      </c>
      <c r="L22" s="133">
        <f>K22</f>
        <v>550</v>
      </c>
      <c r="M22" s="132">
        <v>585</v>
      </c>
      <c r="N22" s="132">
        <v>610</v>
      </c>
      <c r="O22" s="132">
        <v>640</v>
      </c>
      <c r="P22" s="132">
        <v>665</v>
      </c>
      <c r="Q22" s="133">
        <f>P22</f>
        <v>665</v>
      </c>
      <c r="R22" s="132">
        <v>690</v>
      </c>
      <c r="S22" s="132">
        <v>720</v>
      </c>
      <c r="T22" s="280">
        <v>770</v>
      </c>
      <c r="U22" s="280">
        <v>780</v>
      </c>
      <c r="V22" s="133">
        <f>U22</f>
        <v>780</v>
      </c>
      <c r="W22" s="132">
        <v>770</v>
      </c>
      <c r="X22" s="132">
        <v>795</v>
      </c>
      <c r="Y22" s="280">
        <v>810</v>
      </c>
      <c r="Z22" s="280">
        <v>825</v>
      </c>
      <c r="AA22" s="133">
        <f>Z22</f>
        <v>825</v>
      </c>
      <c r="AB22" s="280">
        <v>855</v>
      </c>
      <c r="AC22" s="280">
        <v>870</v>
      </c>
      <c r="AD22" s="280">
        <v>890</v>
      </c>
      <c r="AE22" s="280">
        <v>905</v>
      </c>
      <c r="AF22" s="133">
        <f>AE22</f>
        <v>905</v>
      </c>
      <c r="AG22" s="280">
        <v>910</v>
      </c>
    </row>
    <row r="23" spans="2:33" ht="15" customHeight="1" thickTop="1">
      <c r="G23" s="134"/>
      <c r="I23" s="135"/>
      <c r="L23" s="134"/>
      <c r="N23" s="135"/>
      <c r="O23" s="135"/>
      <c r="Q23" s="134"/>
      <c r="S23" s="135"/>
      <c r="T23" s="135"/>
      <c r="V23" s="134"/>
      <c r="X23" s="135"/>
      <c r="Y23" s="135"/>
      <c r="AA23" s="134"/>
      <c r="AF23" s="134"/>
    </row>
    <row r="24" spans="2:33" ht="15" customHeight="1">
      <c r="B24" s="45" t="s">
        <v>182</v>
      </c>
    </row>
    <row r="25" spans="2:33" ht="15" customHeight="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row>
    <row r="28" spans="2:33" ht="15" customHeight="1">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row>
    <row r="32" spans="2:33" ht="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row>
    <row r="33" spans="3:33" ht="15" customHeight="1">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row>
    <row r="41" spans="3:33" ht="15" customHeight="1">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row>
    <row r="52" spans="3:33"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row>
    <row r="55" spans="3:33" ht="15" customHeight="1">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row>
    <row r="63" spans="3:33" ht="15" customHeight="1">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row>
  </sheetData>
  <hyperlinks>
    <hyperlink ref="G5" location="Cover!A1" display="Back to Main" xr:uid="{3A1AA0BB-2055-4F75-B943-3F4AEF3EAA47}"/>
  </hyperlinks>
  <pageMargins left="0.25" right="0.25" top="0.5" bottom="0.5" header="0.3" footer="0.55000000000000004"/>
  <pageSetup scale="46"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sheetPr>
  <dimension ref="B4:AC58"/>
  <sheetViews>
    <sheetView showGridLines="0" zoomScale="80" zoomScaleNormal="80" zoomScaleSheetLayoutView="80" workbookViewId="0">
      <pane xSplit="2" ySplit="8" topLeftCell="D9" activePane="bottomRight" state="frozen"/>
      <selection pane="topRight"/>
      <selection pane="bottomLeft"/>
      <selection pane="bottomRight" activeCell="R49" sqref="R49"/>
    </sheetView>
  </sheetViews>
  <sheetFormatPr defaultColWidth="9.140625" defaultRowHeight="15" customHeight="1" outlineLevelRow="1" outlineLevelCol="1"/>
  <cols>
    <col min="1" max="1" width="5.5703125" style="9" customWidth="1"/>
    <col min="2" max="2" width="51.140625" style="1" customWidth="1"/>
    <col min="3" max="3" width="11.140625" style="1" hidden="1" customWidth="1" outlineLevel="1"/>
    <col min="4" max="4" width="10.5703125" style="1" customWidth="1" collapsed="1"/>
    <col min="5" max="6" width="10.5703125" style="1" customWidth="1"/>
    <col min="7" max="7" width="10.5703125" style="1" hidden="1" customWidth="1" outlineLevel="1"/>
    <col min="8" max="8" width="10.5703125" style="1" customWidth="1" collapsed="1"/>
    <col min="9" max="12" width="10.5703125" style="1" customWidth="1"/>
    <col min="13" max="13" width="11.42578125" style="1" customWidth="1"/>
    <col min="14" max="17" width="10.5703125" style="1" customWidth="1"/>
    <col min="18" max="18" width="11.42578125" style="1" customWidth="1"/>
    <col min="19" max="22" width="10.5703125" style="1" customWidth="1"/>
    <col min="23" max="23" width="11.42578125" style="1" customWidth="1"/>
    <col min="24" max="27" width="10.5703125" style="1" customWidth="1"/>
    <col min="28" max="28" width="11.42578125" style="1" customWidth="1"/>
    <col min="29" max="29" width="10.5703125" style="1" customWidth="1"/>
    <col min="30" max="16384" width="9.140625" style="9"/>
  </cols>
  <sheetData>
    <row r="4" spans="2:29" ht="15" customHeight="1">
      <c r="B4" s="106"/>
      <c r="C4" s="7" t="s">
        <v>46</v>
      </c>
    </row>
    <row r="5" spans="2:29" ht="15" customHeight="1">
      <c r="B5" s="137" t="s">
        <v>22</v>
      </c>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2:29" ht="15" customHeight="1">
      <c r="B6" s="1" t="s">
        <v>21</v>
      </c>
    </row>
    <row r="8" spans="2:29" ht="15" customHeight="1">
      <c r="C8" s="51" t="s">
        <v>117</v>
      </c>
      <c r="D8" s="50" t="s">
        <v>75</v>
      </c>
      <c r="E8" s="50" t="s">
        <v>76</v>
      </c>
      <c r="F8" s="50" t="s">
        <v>77</v>
      </c>
      <c r="G8" s="50" t="s">
        <v>78</v>
      </c>
      <c r="H8" s="51" t="s">
        <v>44</v>
      </c>
      <c r="I8" s="50" t="s">
        <v>79</v>
      </c>
      <c r="J8" s="50" t="s">
        <v>80</v>
      </c>
      <c r="K8" s="50" t="s">
        <v>81</v>
      </c>
      <c r="L8" s="50" t="s">
        <v>82</v>
      </c>
      <c r="M8" s="51" t="s">
        <v>83</v>
      </c>
      <c r="N8" s="50" t="s">
        <v>151</v>
      </c>
      <c r="O8" s="50" t="s">
        <v>150</v>
      </c>
      <c r="P8" s="50" t="s">
        <v>189</v>
      </c>
      <c r="Q8" s="50" t="s">
        <v>190</v>
      </c>
      <c r="R8" s="51" t="s">
        <v>191</v>
      </c>
      <c r="S8" s="50" t="s">
        <v>193</v>
      </c>
      <c r="T8" s="50" t="s">
        <v>194</v>
      </c>
      <c r="U8" s="50" t="s">
        <v>199</v>
      </c>
      <c r="V8" s="50" t="s">
        <v>204</v>
      </c>
      <c r="W8" s="51" t="s">
        <v>203</v>
      </c>
      <c r="X8" s="50" t="s">
        <v>205</v>
      </c>
      <c r="Y8" s="50" t="s">
        <v>213</v>
      </c>
      <c r="Z8" s="50" t="s">
        <v>217</v>
      </c>
      <c r="AA8" s="50" t="s">
        <v>219</v>
      </c>
      <c r="AB8" s="51" t="s">
        <v>218</v>
      </c>
      <c r="AC8" s="50" t="s">
        <v>221</v>
      </c>
    </row>
    <row r="9" spans="2:29" ht="15" customHeight="1">
      <c r="C9" s="52"/>
      <c r="H9" s="52"/>
      <c r="M9" s="52"/>
      <c r="R9" s="52"/>
      <c r="W9" s="52"/>
      <c r="AB9" s="52"/>
    </row>
    <row r="10" spans="2:29" s="49" customFormat="1" ht="15" customHeight="1">
      <c r="B10" s="48" t="s">
        <v>147</v>
      </c>
      <c r="C10" s="57">
        <f>'Income Statement'!C31</f>
        <v>-85576</v>
      </c>
      <c r="D10" s="138">
        <f>'Income Statement'!D31</f>
        <v>-26215</v>
      </c>
      <c r="E10" s="138">
        <f>'Income Statement'!E31</f>
        <v>-25191</v>
      </c>
      <c r="F10" s="138">
        <f>'Income Statement'!F31</f>
        <v>3117</v>
      </c>
      <c r="G10" s="138">
        <f>'Income Statement'!G31</f>
        <v>-19010</v>
      </c>
      <c r="H10" s="57">
        <f>SUM(D10:G10)</f>
        <v>-67299</v>
      </c>
      <c r="I10" s="138">
        <f>'Income Statement'!I31</f>
        <v>-27818</v>
      </c>
      <c r="J10" s="138">
        <f>'Income Statement'!J31</f>
        <v>-41180</v>
      </c>
      <c r="K10" s="138">
        <f>'Income Statement'!K31</f>
        <v>-15261</v>
      </c>
      <c r="L10" s="138">
        <f>'Income Statement'!L31</f>
        <v>-49688</v>
      </c>
      <c r="M10" s="139">
        <f>SUM(I10:L10)</f>
        <v>-133947</v>
      </c>
      <c r="N10" s="138">
        <f>'Income Statement'!N31</f>
        <v>-42140</v>
      </c>
      <c r="O10" s="138">
        <f>'Income Statement'!O31</f>
        <v>-40202</v>
      </c>
      <c r="P10" s="138">
        <f>'Income Statement'!P31</f>
        <v>-38040</v>
      </c>
      <c r="Q10" s="138">
        <f>'Income Statement'!Q31</f>
        <v>-4879</v>
      </c>
      <c r="R10" s="139">
        <f>SUM(N10:Q10)</f>
        <v>-125261</v>
      </c>
      <c r="S10" s="138">
        <f>'Income Statement'!S31</f>
        <v>-21728</v>
      </c>
      <c r="T10" s="138">
        <f>'Income Statement'!T31</f>
        <v>-23968</v>
      </c>
      <c r="U10" s="138">
        <f>'Income Statement'!U31</f>
        <v>-11725</v>
      </c>
      <c r="V10" s="138">
        <f>'Income Statement'!V31</f>
        <v>-32847</v>
      </c>
      <c r="W10" s="139">
        <f>SUM(S10:V10)</f>
        <v>-90268</v>
      </c>
      <c r="X10" s="138">
        <f>'Income Statement'!X31</f>
        <v>17365</v>
      </c>
      <c r="Y10" s="138">
        <f>'Income Statement'!Y31</f>
        <v>-6431</v>
      </c>
      <c r="Z10" s="138">
        <f>'Income Statement'!Z31</f>
        <v>-15375</v>
      </c>
      <c r="AA10" s="138">
        <f>'Income Statement'!AA31</f>
        <v>-29392</v>
      </c>
      <c r="AB10" s="139">
        <f>SUM(X10:AA10)</f>
        <v>-33833</v>
      </c>
      <c r="AC10" s="138">
        <f>'Income Statement'!AC31</f>
        <v>-27218</v>
      </c>
    </row>
    <row r="11" spans="2:29" s="49" customFormat="1" ht="15" customHeight="1">
      <c r="B11" s="114" t="s">
        <v>6</v>
      </c>
      <c r="C11" s="140">
        <f>'Income Statement'!C29</f>
        <v>-45184</v>
      </c>
      <c r="D11" s="141">
        <f>'Income Statement'!D29</f>
        <v>-14184</v>
      </c>
      <c r="E11" s="141">
        <f>'Income Statement'!E29</f>
        <v>-12679</v>
      </c>
      <c r="F11" s="141">
        <f>'Income Statement'!F29</f>
        <v>-30374</v>
      </c>
      <c r="G11" s="141">
        <f>'Income Statement'!G29</f>
        <v>-8486</v>
      </c>
      <c r="H11" s="140">
        <f>SUM(D11:G11)</f>
        <v>-65723</v>
      </c>
      <c r="I11" s="141">
        <f>'Income Statement'!I29</f>
        <v>-1428</v>
      </c>
      <c r="J11" s="141">
        <f>'Income Statement'!J29</f>
        <v>2700</v>
      </c>
      <c r="K11" s="141">
        <f>'Income Statement'!K29</f>
        <v>-22546</v>
      </c>
      <c r="L11" s="141">
        <f>'Income Statement'!L29</f>
        <v>-24135</v>
      </c>
      <c r="M11" s="140">
        <f>SUM(I11:L11)</f>
        <v>-45409</v>
      </c>
      <c r="N11" s="141">
        <f>'Income Statement'!N29</f>
        <v>-353</v>
      </c>
      <c r="O11" s="141">
        <f>'Income Statement'!O29</f>
        <v>-5291</v>
      </c>
      <c r="P11" s="141">
        <f>'Income Statement'!P29</f>
        <v>-287</v>
      </c>
      <c r="Q11" s="141">
        <f>'Income Statement'!Q29</f>
        <v>-34345</v>
      </c>
      <c r="R11" s="140">
        <f>SUM(N11:Q11)</f>
        <v>-40276</v>
      </c>
      <c r="S11" s="141">
        <f>'Income Statement'!S29</f>
        <v>-3816</v>
      </c>
      <c r="T11" s="141">
        <f>'Income Statement'!T29</f>
        <v>-3109</v>
      </c>
      <c r="U11" s="141">
        <f>'Income Statement'!U29</f>
        <v>-4142</v>
      </c>
      <c r="V11" s="141">
        <f>'Income Statement'!V29</f>
        <v>-19465</v>
      </c>
      <c r="W11" s="140">
        <f>SUM(S11:V11)</f>
        <v>-30532</v>
      </c>
      <c r="X11" s="141">
        <f>'Income Statement'!X29</f>
        <v>-4365</v>
      </c>
      <c r="Y11" s="141">
        <f>'Income Statement'!Y29</f>
        <v>399</v>
      </c>
      <c r="Z11" s="141">
        <f>'Income Statement'!Z29</f>
        <v>1348</v>
      </c>
      <c r="AA11" s="141">
        <f>'Income Statement'!AA29</f>
        <v>1376</v>
      </c>
      <c r="AB11" s="140">
        <f>SUM(X11:AA11)</f>
        <v>-1242</v>
      </c>
      <c r="AC11" s="141">
        <f>'Income Statement'!AC29</f>
        <v>2315</v>
      </c>
    </row>
    <row r="12" spans="2:29" s="49" customFormat="1" ht="15" customHeight="1">
      <c r="B12" s="142" t="s">
        <v>211</v>
      </c>
      <c r="C12" s="143">
        <f>'Income Statement'!C25</f>
        <v>652</v>
      </c>
      <c r="D12" s="144">
        <f>'Income Statement'!D25</f>
        <v>-580</v>
      </c>
      <c r="E12" s="144">
        <f>'Income Statement'!E25</f>
        <v>263</v>
      </c>
      <c r="F12" s="144">
        <f>'Income Statement'!F25</f>
        <v>432</v>
      </c>
      <c r="G12" s="144">
        <f>'Income Statement'!G25</f>
        <v>387</v>
      </c>
      <c r="H12" s="143">
        <f>SUM(D12:G12)</f>
        <v>502</v>
      </c>
      <c r="I12" s="144">
        <f>'Income Statement'!I25</f>
        <v>356</v>
      </c>
      <c r="J12" s="144">
        <f>'Income Statement'!J25</f>
        <v>-281</v>
      </c>
      <c r="K12" s="144">
        <f>'Income Statement'!K25</f>
        <v>10404</v>
      </c>
      <c r="L12" s="144">
        <f>'Income Statement'!L25</f>
        <v>8311</v>
      </c>
      <c r="M12" s="143">
        <f>SUM(I12:L12)</f>
        <v>18790</v>
      </c>
      <c r="N12" s="144">
        <f>'Income Statement'!N25</f>
        <v>5882</v>
      </c>
      <c r="O12" s="144">
        <f>'Income Statement'!O25</f>
        <v>4780</v>
      </c>
      <c r="P12" s="144">
        <f>'Income Statement'!P25</f>
        <v>3158</v>
      </c>
      <c r="Q12" s="144">
        <f>'Income Statement'!Q25</f>
        <v>1565</v>
      </c>
      <c r="R12" s="143">
        <f>SUM(N12:Q12)</f>
        <v>15385</v>
      </c>
      <c r="S12" s="144">
        <f>'Income Statement'!S25</f>
        <v>463</v>
      </c>
      <c r="T12" s="144">
        <f>'Income Statement'!T25</f>
        <v>-225</v>
      </c>
      <c r="U12" s="144">
        <f>'Income Statement'!U25</f>
        <v>-86</v>
      </c>
      <c r="V12" s="144">
        <f>'Income Statement'!V25</f>
        <v>-404</v>
      </c>
      <c r="W12" s="143">
        <f>SUM(S12:V12)</f>
        <v>-252</v>
      </c>
      <c r="X12" s="144">
        <f>'Income Statement'!X25</f>
        <v>30601</v>
      </c>
      <c r="Y12" s="144">
        <f>'Income Statement'!Y25</f>
        <v>150</v>
      </c>
      <c r="Z12" s="144">
        <f>'Income Statement'!Z25</f>
        <v>-241</v>
      </c>
      <c r="AA12" s="144">
        <f>'Income Statement'!AA25</f>
        <v>-47</v>
      </c>
      <c r="AB12" s="143">
        <f>SUM(X12:AA12)</f>
        <v>30463</v>
      </c>
      <c r="AC12" s="144">
        <f>'Income Statement'!AC25</f>
        <v>699</v>
      </c>
    </row>
    <row r="13" spans="2:29" s="49" customFormat="1" ht="15" customHeight="1">
      <c r="B13" s="48" t="s">
        <v>37</v>
      </c>
      <c r="C13" s="140">
        <f t="shared" ref="C13" si="0">C10+C11-C12</f>
        <v>-131412</v>
      </c>
      <c r="D13" s="141">
        <f>D10+D11-D12</f>
        <v>-39819</v>
      </c>
      <c r="E13" s="141">
        <f t="shared" ref="E13:G13" si="1">E10+E11-E12</f>
        <v>-38133</v>
      </c>
      <c r="F13" s="141">
        <f t="shared" si="1"/>
        <v>-27689</v>
      </c>
      <c r="G13" s="141">
        <f t="shared" si="1"/>
        <v>-27883</v>
      </c>
      <c r="H13" s="140">
        <f t="shared" ref="H13:M13" si="2">H10+H11-H12</f>
        <v>-133524</v>
      </c>
      <c r="I13" s="141">
        <f>I10+I11-I12</f>
        <v>-29602</v>
      </c>
      <c r="J13" s="141">
        <f t="shared" si="2"/>
        <v>-38199</v>
      </c>
      <c r="K13" s="141">
        <f t="shared" si="2"/>
        <v>-48211</v>
      </c>
      <c r="L13" s="141">
        <f t="shared" si="2"/>
        <v>-82134</v>
      </c>
      <c r="M13" s="140">
        <f t="shared" si="2"/>
        <v>-198146</v>
      </c>
      <c r="N13" s="141">
        <f>N10+N11-N12</f>
        <v>-48375</v>
      </c>
      <c r="O13" s="141">
        <f t="shared" ref="O13:R13" si="3">O10+O11-O12</f>
        <v>-50273</v>
      </c>
      <c r="P13" s="141">
        <f t="shared" si="3"/>
        <v>-41485</v>
      </c>
      <c r="Q13" s="141">
        <f t="shared" si="3"/>
        <v>-40789</v>
      </c>
      <c r="R13" s="140">
        <f t="shared" si="3"/>
        <v>-180922</v>
      </c>
      <c r="S13" s="141">
        <f>S10+S11-S12</f>
        <v>-26007</v>
      </c>
      <c r="T13" s="141">
        <f t="shared" ref="T13:U13" si="4">T10+T11-T12</f>
        <v>-26852</v>
      </c>
      <c r="U13" s="141">
        <f t="shared" si="4"/>
        <v>-15781</v>
      </c>
      <c r="V13" s="141">
        <f t="shared" ref="V13:W13" si="5">V10+V11-V12</f>
        <v>-51908</v>
      </c>
      <c r="W13" s="140">
        <f t="shared" si="5"/>
        <v>-120548</v>
      </c>
      <c r="X13" s="141">
        <f t="shared" ref="X13:Y13" si="6">X10+X11-X12</f>
        <v>-17601</v>
      </c>
      <c r="Y13" s="141">
        <f t="shared" si="6"/>
        <v>-6182</v>
      </c>
      <c r="Z13" s="141">
        <f t="shared" ref="Z13:AB13" si="7">Z10+Z11-Z12</f>
        <v>-13786</v>
      </c>
      <c r="AA13" s="141">
        <f t="shared" si="7"/>
        <v>-27969</v>
      </c>
      <c r="AB13" s="140">
        <f t="shared" si="7"/>
        <v>-65538</v>
      </c>
      <c r="AC13" s="141">
        <f t="shared" ref="AC13" si="8">AC10+AC11-AC12</f>
        <v>-25602</v>
      </c>
    </row>
    <row r="14" spans="2:29" s="49" customFormat="1" ht="15" customHeight="1">
      <c r="B14" s="142" t="s">
        <v>7</v>
      </c>
      <c r="C14" s="143">
        <v>29847.601859999973</v>
      </c>
      <c r="D14" s="145">
        <v>9193</v>
      </c>
      <c r="E14" s="145">
        <v>9765</v>
      </c>
      <c r="F14" s="145">
        <v>9297</v>
      </c>
      <c r="G14" s="145">
        <v>9392</v>
      </c>
      <c r="H14" s="143">
        <v>37647</v>
      </c>
      <c r="I14" s="145">
        <v>9403</v>
      </c>
      <c r="J14" s="145">
        <v>7018</v>
      </c>
      <c r="K14" s="145">
        <v>8853</v>
      </c>
      <c r="L14" s="145">
        <v>8508</v>
      </c>
      <c r="M14" s="143">
        <f>SUM(I14:L14)</f>
        <v>33782</v>
      </c>
      <c r="N14" s="145">
        <v>8877</v>
      </c>
      <c r="O14" s="145">
        <v>10977</v>
      </c>
      <c r="P14" s="145">
        <v>8104</v>
      </c>
      <c r="Q14" s="145">
        <v>7943</v>
      </c>
      <c r="R14" s="143">
        <f>SUM(N14:Q14)</f>
        <v>35901</v>
      </c>
      <c r="S14" s="145">
        <v>8054</v>
      </c>
      <c r="T14" s="145">
        <v>6901</v>
      </c>
      <c r="U14" s="286">
        <v>6509</v>
      </c>
      <c r="V14" s="286">
        <v>6277</v>
      </c>
      <c r="W14" s="143">
        <f>SUM(S14:V14)</f>
        <v>27741</v>
      </c>
      <c r="X14" s="286">
        <v>6585</v>
      </c>
      <c r="Y14" s="286">
        <v>5819</v>
      </c>
      <c r="Z14" s="286">
        <v>5827</v>
      </c>
      <c r="AA14" s="286">
        <v>6017</v>
      </c>
      <c r="AB14" s="143">
        <f>SUM(X14:AA14)</f>
        <v>24248</v>
      </c>
      <c r="AC14" s="286">
        <f>CF!AB12</f>
        <v>5741</v>
      </c>
    </row>
    <row r="15" spans="2:29" s="49" customFormat="1" ht="15" customHeight="1">
      <c r="B15" s="48" t="s">
        <v>152</v>
      </c>
      <c r="C15" s="139">
        <f t="shared" ref="C15:O15" si="9">C13+C14</f>
        <v>-101564.39814000003</v>
      </c>
      <c r="D15" s="138">
        <f t="shared" si="9"/>
        <v>-30626</v>
      </c>
      <c r="E15" s="138">
        <f t="shared" si="9"/>
        <v>-28368</v>
      </c>
      <c r="F15" s="138">
        <f t="shared" si="9"/>
        <v>-18392</v>
      </c>
      <c r="G15" s="138">
        <f t="shared" si="9"/>
        <v>-18491</v>
      </c>
      <c r="H15" s="139">
        <f t="shared" si="9"/>
        <v>-95877</v>
      </c>
      <c r="I15" s="138">
        <f t="shared" si="9"/>
        <v>-20199</v>
      </c>
      <c r="J15" s="138">
        <f t="shared" si="9"/>
        <v>-31181</v>
      </c>
      <c r="K15" s="138">
        <f t="shared" si="9"/>
        <v>-39358</v>
      </c>
      <c r="L15" s="138">
        <f t="shared" si="9"/>
        <v>-73626</v>
      </c>
      <c r="M15" s="139">
        <f t="shared" si="9"/>
        <v>-164364</v>
      </c>
      <c r="N15" s="138">
        <f t="shared" si="9"/>
        <v>-39498</v>
      </c>
      <c r="O15" s="138">
        <f t="shared" si="9"/>
        <v>-39296</v>
      </c>
      <c r="P15" s="138">
        <f t="shared" ref="P15:T15" si="10">P13+P14</f>
        <v>-33381</v>
      </c>
      <c r="Q15" s="138">
        <f t="shared" si="10"/>
        <v>-32846</v>
      </c>
      <c r="R15" s="139">
        <f t="shared" si="10"/>
        <v>-145021</v>
      </c>
      <c r="S15" s="138">
        <f t="shared" si="10"/>
        <v>-17953</v>
      </c>
      <c r="T15" s="138">
        <f t="shared" si="10"/>
        <v>-19951</v>
      </c>
      <c r="U15" s="138">
        <f t="shared" ref="U15:W15" si="11">U13+U14</f>
        <v>-9272</v>
      </c>
      <c r="V15" s="138">
        <f t="shared" si="11"/>
        <v>-45631</v>
      </c>
      <c r="W15" s="139">
        <f t="shared" si="11"/>
        <v>-92807</v>
      </c>
      <c r="X15" s="138">
        <f t="shared" ref="X15:Y15" si="12">X13+X14</f>
        <v>-11016</v>
      </c>
      <c r="Y15" s="138">
        <f t="shared" si="12"/>
        <v>-363</v>
      </c>
      <c r="Z15" s="138">
        <f t="shared" ref="Z15:AB15" si="13">Z13+Z14</f>
        <v>-7959</v>
      </c>
      <c r="AA15" s="138">
        <f t="shared" si="13"/>
        <v>-21952</v>
      </c>
      <c r="AB15" s="139">
        <f t="shared" si="13"/>
        <v>-41290</v>
      </c>
      <c r="AC15" s="138">
        <f t="shared" ref="AC15" si="14">AC13+AC14</f>
        <v>-19861</v>
      </c>
    </row>
    <row r="16" spans="2:29" s="49" customFormat="1" ht="15" customHeight="1">
      <c r="B16" s="48"/>
      <c r="C16" s="140"/>
      <c r="D16" s="141"/>
      <c r="E16" s="141"/>
      <c r="F16" s="141"/>
      <c r="G16" s="141"/>
      <c r="H16" s="140"/>
      <c r="I16" s="141"/>
      <c r="J16" s="141"/>
      <c r="K16" s="141"/>
      <c r="L16" s="141"/>
      <c r="M16" s="140"/>
      <c r="N16" s="141"/>
      <c r="O16" s="141"/>
      <c r="P16" s="141"/>
      <c r="Q16" s="141"/>
      <c r="R16" s="140"/>
      <c r="S16" s="141"/>
      <c r="T16" s="141"/>
      <c r="U16" s="141"/>
      <c r="V16" s="141"/>
      <c r="W16" s="140"/>
      <c r="X16" s="141"/>
      <c r="Y16" s="141"/>
      <c r="Z16" s="141"/>
      <c r="AA16" s="141"/>
      <c r="AB16" s="140"/>
      <c r="AC16" s="141"/>
    </row>
    <row r="17" spans="2:29" s="49" customFormat="1" ht="15" customHeight="1">
      <c r="B17" s="114" t="s">
        <v>8</v>
      </c>
      <c r="C17" s="140"/>
      <c r="D17" s="141"/>
      <c r="E17" s="141"/>
      <c r="F17" s="141"/>
      <c r="G17" s="141"/>
      <c r="H17" s="140"/>
      <c r="I17" s="141"/>
      <c r="J17" s="141"/>
      <c r="K17" s="141"/>
      <c r="L17" s="141"/>
      <c r="M17" s="140"/>
      <c r="N17" s="141"/>
      <c r="O17" s="141"/>
      <c r="P17" s="141"/>
      <c r="Q17" s="141"/>
      <c r="R17" s="140"/>
      <c r="S17" s="141"/>
      <c r="T17" s="141"/>
      <c r="U17" s="141"/>
      <c r="V17" s="141"/>
      <c r="W17" s="140"/>
      <c r="X17" s="141"/>
      <c r="Y17" s="141"/>
      <c r="Z17" s="141"/>
      <c r="AA17" s="141"/>
      <c r="AB17" s="140"/>
      <c r="AC17" s="141"/>
    </row>
    <row r="18" spans="2:29" s="49" customFormat="1" ht="15" customHeight="1">
      <c r="B18" s="114" t="s">
        <v>9</v>
      </c>
      <c r="C18" s="139">
        <v>39771.930419999975</v>
      </c>
      <c r="D18" s="138">
        <v>12400</v>
      </c>
      <c r="E18" s="138">
        <v>13154</v>
      </c>
      <c r="F18" s="138">
        <v>13290</v>
      </c>
      <c r="G18" s="138">
        <v>14022</v>
      </c>
      <c r="H18" s="139">
        <f>SUM(D18:G18)</f>
        <v>52866</v>
      </c>
      <c r="I18" s="138">
        <v>17798</v>
      </c>
      <c r="J18" s="138">
        <v>17667</v>
      </c>
      <c r="K18" s="138">
        <v>26082</v>
      </c>
      <c r="L18" s="138">
        <v>41174</v>
      </c>
      <c r="M18" s="139">
        <f>SUM(I18:L18)</f>
        <v>102721</v>
      </c>
      <c r="N18" s="138">
        <v>18630</v>
      </c>
      <c r="O18" s="138">
        <f>'GAAP to Non-GAAP Inc Stmt'!S48</f>
        <v>23354</v>
      </c>
      <c r="P18" s="138">
        <f>'GAAP to Non-GAAP Inc Stmt'!T48</f>
        <v>30295</v>
      </c>
      <c r="Q18" s="138">
        <v>17168</v>
      </c>
      <c r="R18" s="139">
        <f>SUM(N18:Q18)</f>
        <v>89447</v>
      </c>
      <c r="S18" s="138">
        <v>16485</v>
      </c>
      <c r="T18" s="138">
        <f>'GAAP to Non-GAAP Inc Stmt'!X48</f>
        <v>24204</v>
      </c>
      <c r="U18" s="138">
        <f>'GAAP to Non-GAAP Inc Stmt'!Y48</f>
        <v>23894</v>
      </c>
      <c r="V18" s="138">
        <f>'GAAP to Non-GAAP Inc Stmt'!Z48</f>
        <v>47124</v>
      </c>
      <c r="W18" s="139">
        <f>SUM(S18:V18)</f>
        <v>111707</v>
      </c>
      <c r="X18" s="138">
        <f>'GAAP to Non-GAAP Inc Stmt'!AB48</f>
        <v>18496</v>
      </c>
      <c r="Y18" s="138">
        <f>'GAAP to Non-GAAP Inc Stmt'!AC48</f>
        <v>19221</v>
      </c>
      <c r="Z18" s="138">
        <f>'GAAP to Non-GAAP Inc Stmt'!AD48</f>
        <v>23758</v>
      </c>
      <c r="AA18" s="138">
        <f>'GAAP to Non-GAAP Inc Stmt'!AE48</f>
        <v>25782</v>
      </c>
      <c r="AB18" s="139">
        <f>SUM(X18:AA18)</f>
        <v>87257</v>
      </c>
      <c r="AC18" s="138">
        <f>'GAAP to Non-GAAP Inc Stmt'!AG48</f>
        <v>24225</v>
      </c>
    </row>
    <row r="19" spans="2:29" ht="15" customHeight="1">
      <c r="B19" s="146" t="s">
        <v>10</v>
      </c>
      <c r="C19" s="140">
        <v>4752.8016599999992</v>
      </c>
      <c r="D19" s="147">
        <v>-3</v>
      </c>
      <c r="E19" s="147">
        <v>2833</v>
      </c>
      <c r="F19" s="147">
        <v>-788</v>
      </c>
      <c r="G19" s="147">
        <v>681</v>
      </c>
      <c r="H19" s="140">
        <f>SUM(D19:G19)</f>
        <v>2723</v>
      </c>
      <c r="I19" s="141">
        <v>1</v>
      </c>
      <c r="J19" s="141">
        <v>489</v>
      </c>
      <c r="K19" s="141">
        <v>5043</v>
      </c>
      <c r="L19" s="141">
        <v>14400</v>
      </c>
      <c r="M19" s="140">
        <f>SUM(I19:L19)</f>
        <v>19933</v>
      </c>
      <c r="N19" s="141">
        <v>2276</v>
      </c>
      <c r="O19" s="141">
        <f>'GAAP to Non-GAAP Inc Stmt'!S60</f>
        <v>45</v>
      </c>
      <c r="P19" s="141">
        <f>'GAAP to Non-GAAP Inc Stmt'!T60</f>
        <v>233</v>
      </c>
      <c r="Q19" s="141">
        <v>2447</v>
      </c>
      <c r="R19" s="140">
        <f>SUM(N19:Q19)</f>
        <v>5001</v>
      </c>
      <c r="S19" s="141">
        <v>1995</v>
      </c>
      <c r="T19" s="141">
        <f>'GAAP to Non-GAAP Inc Stmt'!X60</f>
        <v>-619</v>
      </c>
      <c r="U19" s="141">
        <f>'GAAP to Non-GAAP Inc Stmt'!Y60</f>
        <v>-6</v>
      </c>
      <c r="V19" s="141">
        <f>'GAAP to Non-GAAP Inc Stmt'!Z60</f>
        <v>1345</v>
      </c>
      <c r="W19" s="140">
        <f>SUM(S19:V19)</f>
        <v>2715</v>
      </c>
      <c r="X19" s="141">
        <f>'GAAP to Non-GAAP Inc Stmt'!AB60</f>
        <v>1278</v>
      </c>
      <c r="Y19" s="141">
        <f>'GAAP to Non-GAAP Inc Stmt'!AC60</f>
        <v>18</v>
      </c>
      <c r="Z19" s="141">
        <f>'GAAP to Non-GAAP Inc Stmt'!AD60</f>
        <v>0</v>
      </c>
      <c r="AA19" s="141">
        <f>'GAAP to Non-GAAP Inc Stmt'!AE60</f>
        <v>183</v>
      </c>
      <c r="AB19" s="140">
        <f>SUM(X19:AA19)</f>
        <v>1479</v>
      </c>
      <c r="AC19" s="141">
        <f>'GAAP to Non-GAAP Inc Stmt'!AG60</f>
        <v>739</v>
      </c>
    </row>
    <row r="20" spans="2:29" ht="15" customHeight="1">
      <c r="B20" s="148" t="s">
        <v>11</v>
      </c>
      <c r="C20" s="143">
        <v>8639.0499999999975</v>
      </c>
      <c r="D20" s="282">
        <v>7119</v>
      </c>
      <c r="E20" s="282">
        <v>5453</v>
      </c>
      <c r="F20" s="282">
        <v>5214.1000000000004</v>
      </c>
      <c r="G20" s="283">
        <v>0</v>
      </c>
      <c r="H20" s="143">
        <f>SUM(D20:G20)</f>
        <v>17786.099999999999</v>
      </c>
      <c r="I20" s="144">
        <v>0</v>
      </c>
      <c r="J20" s="144">
        <v>2122</v>
      </c>
      <c r="K20" s="144">
        <v>700</v>
      </c>
      <c r="L20" s="145">
        <v>-705</v>
      </c>
      <c r="M20" s="143">
        <f>SUM(I20:L20)</f>
        <v>2117</v>
      </c>
      <c r="N20" s="144">
        <v>0</v>
      </c>
      <c r="O20" s="144">
        <v>0</v>
      </c>
      <c r="P20" s="144">
        <v>0</v>
      </c>
      <c r="Q20" s="145">
        <v>0</v>
      </c>
      <c r="R20" s="143">
        <f>SUM(N20:Q20)</f>
        <v>0</v>
      </c>
      <c r="S20" s="144">
        <v>3605</v>
      </c>
      <c r="T20" s="144">
        <v>258</v>
      </c>
      <c r="U20" s="144">
        <v>0</v>
      </c>
      <c r="V20" s="144">
        <v>0</v>
      </c>
      <c r="W20" s="143">
        <f>SUM(S20:V20)</f>
        <v>3863</v>
      </c>
      <c r="X20" s="144">
        <v>0</v>
      </c>
      <c r="Y20" s="144">
        <v>0</v>
      </c>
      <c r="Z20" s="144">
        <v>0</v>
      </c>
      <c r="AA20" s="144">
        <v>0</v>
      </c>
      <c r="AB20" s="143">
        <f>SUM(X20:AA20)</f>
        <v>0</v>
      </c>
      <c r="AC20" s="144">
        <v>0</v>
      </c>
    </row>
    <row r="21" spans="2:29" ht="15" hidden="1" customHeight="1" outlineLevel="1">
      <c r="B21" s="150" t="s">
        <v>12</v>
      </c>
      <c r="C21" s="143">
        <v>0</v>
      </c>
      <c r="D21" s="144">
        <v>0</v>
      </c>
      <c r="E21" s="144">
        <v>0</v>
      </c>
      <c r="F21" s="144">
        <v>0</v>
      </c>
      <c r="G21" s="144">
        <v>0</v>
      </c>
      <c r="H21" s="143">
        <f>SUM(D21:G21)</f>
        <v>0</v>
      </c>
      <c r="I21" s="144">
        <v>0</v>
      </c>
      <c r="J21" s="144">
        <v>0</v>
      </c>
      <c r="K21" s="144">
        <v>0</v>
      </c>
      <c r="L21" s="144">
        <v>0</v>
      </c>
      <c r="M21" s="143">
        <f>SUM(I21:L21)</f>
        <v>0</v>
      </c>
      <c r="N21" s="144">
        <v>0</v>
      </c>
      <c r="O21" s="144">
        <v>0</v>
      </c>
      <c r="P21" s="144">
        <v>0</v>
      </c>
      <c r="Q21" s="144">
        <v>0</v>
      </c>
      <c r="R21" s="143">
        <f>SUM(N21:Q21)</f>
        <v>0</v>
      </c>
      <c r="S21" s="144">
        <v>0</v>
      </c>
      <c r="T21" s="144">
        <v>0</v>
      </c>
      <c r="U21" s="144">
        <v>0</v>
      </c>
      <c r="V21" s="144">
        <v>0</v>
      </c>
      <c r="W21" s="143">
        <f>SUM(S21:V21)</f>
        <v>0</v>
      </c>
      <c r="X21" s="144">
        <v>0</v>
      </c>
      <c r="Y21" s="144">
        <v>0</v>
      </c>
      <c r="Z21" s="144">
        <v>0</v>
      </c>
      <c r="AA21" s="144">
        <v>0</v>
      </c>
      <c r="AB21" s="143">
        <f>SUM(X21:AA21)</f>
        <v>0</v>
      </c>
      <c r="AC21" s="144">
        <v>0</v>
      </c>
    </row>
    <row r="22" spans="2:29" s="49" customFormat="1" ht="15" customHeight="1" collapsed="1">
      <c r="B22" s="48" t="s">
        <v>13</v>
      </c>
      <c r="C22" s="139">
        <f>C15+C18+C19+C20+C21+1</f>
        <v>-48399.616060000066</v>
      </c>
      <c r="D22" s="138">
        <f>D15+D18+D19+D20+D21</f>
        <v>-11110</v>
      </c>
      <c r="E22" s="138">
        <f>E15+E18+E19+E20+E21</f>
        <v>-6928</v>
      </c>
      <c r="F22" s="138">
        <f>F15+F18+F19+F20+F21</f>
        <v>-675.89999999999964</v>
      </c>
      <c r="G22" s="138">
        <f>G15+G18+G19+G20+G21+1</f>
        <v>-3787</v>
      </c>
      <c r="H22" s="139">
        <f>H15+H18+H19+H20+H21</f>
        <v>-22501.9</v>
      </c>
      <c r="I22" s="138">
        <f>I15+I18+I19+I20+I21</f>
        <v>-2400</v>
      </c>
      <c r="J22" s="138">
        <f>J15+J18+J19+J20+J21</f>
        <v>-10903</v>
      </c>
      <c r="K22" s="138">
        <f>K15+K18+K19+K20+K21</f>
        <v>-7533</v>
      </c>
      <c r="L22" s="138">
        <f>L15+L18+L19+L20+L21+1</f>
        <v>-18756</v>
      </c>
      <c r="M22" s="139">
        <f t="shared" ref="M22:O22" si="15">M15+M18+M19+M20+M21</f>
        <v>-39593</v>
      </c>
      <c r="N22" s="138">
        <f t="shared" si="15"/>
        <v>-18592</v>
      </c>
      <c r="O22" s="138">
        <f t="shared" si="15"/>
        <v>-15897</v>
      </c>
      <c r="P22" s="138">
        <f t="shared" ref="P22" si="16">P15+P18+P19+P20+P21</f>
        <v>-2853</v>
      </c>
      <c r="Q22" s="138">
        <f>Q15+Q18+Q19+Q20+Q21</f>
        <v>-13231</v>
      </c>
      <c r="R22" s="139">
        <f t="shared" ref="R22:T22" si="17">R15+R18+R19+R20+R21</f>
        <v>-50573</v>
      </c>
      <c r="S22" s="138">
        <f t="shared" si="17"/>
        <v>4132</v>
      </c>
      <c r="T22" s="138">
        <f t="shared" si="17"/>
        <v>3892</v>
      </c>
      <c r="U22" s="138">
        <f t="shared" ref="U22:W22" si="18">U15+U18+U19+U20+U21</f>
        <v>14616</v>
      </c>
      <c r="V22" s="138">
        <f t="shared" si="18"/>
        <v>2838</v>
      </c>
      <c r="W22" s="139">
        <f t="shared" si="18"/>
        <v>25478</v>
      </c>
      <c r="X22" s="138">
        <f t="shared" ref="X22:Y22" si="19">X15+X18+X19+X20+X21</f>
        <v>8758</v>
      </c>
      <c r="Y22" s="138">
        <f t="shared" si="19"/>
        <v>18876</v>
      </c>
      <c r="Z22" s="138">
        <f t="shared" ref="Z22:AB22" si="20">Z15+Z18+Z19+Z20+Z21</f>
        <v>15799</v>
      </c>
      <c r="AA22" s="138">
        <f t="shared" si="20"/>
        <v>4013</v>
      </c>
      <c r="AB22" s="139">
        <f t="shared" si="20"/>
        <v>47446</v>
      </c>
      <c r="AC22" s="138">
        <f t="shared" ref="AC22" si="21">AC15+AC18+AC19+AC20+AC21</f>
        <v>5103</v>
      </c>
    </row>
    <row r="23" spans="2:29" ht="15" customHeight="1">
      <c r="C23" s="151"/>
      <c r="H23" s="151"/>
      <c r="M23" s="151"/>
      <c r="R23" s="151"/>
      <c r="W23" s="151"/>
      <c r="AB23" s="151"/>
    </row>
    <row r="24" spans="2:29" ht="15" customHeight="1">
      <c r="C24" s="152"/>
      <c r="I24" s="153"/>
      <c r="J24" s="153"/>
      <c r="K24" s="153"/>
      <c r="L24" s="153"/>
      <c r="M24" s="153"/>
      <c r="N24" s="153"/>
      <c r="O24" s="153"/>
      <c r="P24" s="153"/>
      <c r="Q24" s="153"/>
      <c r="R24" s="153"/>
      <c r="S24" s="153"/>
      <c r="T24" s="153"/>
      <c r="U24" s="153"/>
      <c r="V24" s="153"/>
      <c r="W24" s="153"/>
      <c r="X24" s="153"/>
      <c r="Y24" s="153"/>
      <c r="Z24" s="153"/>
      <c r="AA24" s="153"/>
      <c r="AB24" s="153"/>
      <c r="AC24" s="153"/>
    </row>
    <row r="25" spans="2:29" ht="15" customHeight="1">
      <c r="C25" s="152"/>
      <c r="L25" s="153"/>
      <c r="Q25" s="153"/>
    </row>
    <row r="26" spans="2:29" ht="15" customHeight="1">
      <c r="C26" s="152"/>
    </row>
    <row r="27" spans="2:29" ht="15" customHeight="1">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row>
    <row r="28" spans="2:29" ht="15" customHeight="1">
      <c r="C28" s="152"/>
    </row>
    <row r="29" spans="2:29" ht="15" customHeight="1">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row>
    <row r="30" spans="2:29" ht="15" customHeight="1">
      <c r="C30" s="152"/>
    </row>
    <row r="31" spans="2:29" ht="15" customHeight="1">
      <c r="C31" s="152"/>
    </row>
    <row r="32" spans="2:29" ht="15" customHeight="1">
      <c r="C32" s="152"/>
    </row>
    <row r="33" spans="3:29" ht="15" customHeight="1">
      <c r="C33" s="152"/>
    </row>
    <row r="34" spans="3:29" ht="15" customHeight="1">
      <c r="C34" s="152"/>
    </row>
    <row r="35" spans="3:29" ht="15" customHeight="1">
      <c r="C35" s="152"/>
    </row>
    <row r="36" spans="3:29" ht="15" customHeight="1">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row>
    <row r="37" spans="3:29" ht="15" customHeight="1">
      <c r="C37" s="152"/>
    </row>
    <row r="38" spans="3:29" ht="15" customHeight="1">
      <c r="C38" s="152"/>
    </row>
    <row r="39" spans="3:29" ht="15" customHeight="1">
      <c r="C39" s="152"/>
    </row>
    <row r="40" spans="3:29" ht="15" customHeight="1">
      <c r="C40" s="152"/>
    </row>
    <row r="47" spans="3:29" ht="15" customHeight="1">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row>
    <row r="50" spans="3:29" ht="15" customHeight="1">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row>
    <row r="58" spans="3:29" ht="15" customHeight="1">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row>
  </sheetData>
  <hyperlinks>
    <hyperlink ref="C4" location="Cover!A1" display="Back to Main" xr:uid="{C2267AB2-16C9-474B-A833-9AEC62BBBBF2}"/>
  </hyperlinks>
  <pageMargins left="0.25" right="0.25" top="0.5" bottom="0.5" header="0.3" footer="0.55000000000000004"/>
  <pageSetup scale="45"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AC60"/>
  <sheetViews>
    <sheetView showGridLines="0" zoomScale="80" zoomScaleNormal="80" zoomScaleSheetLayoutView="80" workbookViewId="0">
      <pane xSplit="2" ySplit="8" topLeftCell="C9" activePane="bottomRight" state="frozen"/>
      <selection pane="topRight"/>
      <selection pane="bottomLeft"/>
      <selection pane="bottomRight" activeCell="AC29" sqref="AC29"/>
    </sheetView>
  </sheetViews>
  <sheetFormatPr defaultColWidth="9.140625" defaultRowHeight="15" customHeight="1" outlineLevelCol="1"/>
  <cols>
    <col min="1" max="1" width="5.5703125" style="9" customWidth="1"/>
    <col min="2" max="2" width="54.5703125" style="1" customWidth="1"/>
    <col min="3" max="7" width="10.5703125" style="107" hidden="1" customWidth="1" outlineLevel="1"/>
    <col min="8" max="8" width="10.5703125" style="107" customWidth="1" collapsed="1"/>
    <col min="9" max="29" width="10.5703125" style="107" customWidth="1"/>
    <col min="30" max="16384" width="9.140625" style="9"/>
  </cols>
  <sheetData>
    <row r="1" spans="2:29" ht="15" customHeight="1">
      <c r="B1" s="106"/>
    </row>
    <row r="2" spans="2:29" ht="15" customHeight="1">
      <c r="B2" s="106"/>
    </row>
    <row r="3" spans="2:29" ht="15" customHeight="1">
      <c r="B3" s="106"/>
    </row>
    <row r="4" spans="2:29" ht="15" customHeight="1">
      <c r="B4" s="106"/>
      <c r="C4" s="7" t="s">
        <v>46</v>
      </c>
    </row>
    <row r="5" spans="2:29" s="109" customFormat="1" ht="15" customHeight="1">
      <c r="B5" s="137" t="s">
        <v>23</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row>
    <row r="6" spans="2:29" ht="15" customHeight="1">
      <c r="B6" s="1" t="s">
        <v>148</v>
      </c>
    </row>
    <row r="8" spans="2:29" ht="15" customHeight="1">
      <c r="C8" s="51" t="s">
        <v>117</v>
      </c>
      <c r="D8" s="50" t="s">
        <v>75</v>
      </c>
      <c r="E8" s="50" t="s">
        <v>76</v>
      </c>
      <c r="F8" s="50" t="s">
        <v>77</v>
      </c>
      <c r="G8" s="50" t="s">
        <v>78</v>
      </c>
      <c r="H8" s="51" t="s">
        <v>44</v>
      </c>
      <c r="I8" s="50" t="s">
        <v>79</v>
      </c>
      <c r="J8" s="50" t="s">
        <v>80</v>
      </c>
      <c r="K8" s="50" t="s">
        <v>81</v>
      </c>
      <c r="L8" s="50" t="s">
        <v>82</v>
      </c>
      <c r="M8" s="51" t="s">
        <v>83</v>
      </c>
      <c r="N8" s="50" t="s">
        <v>151</v>
      </c>
      <c r="O8" s="50" t="s">
        <v>150</v>
      </c>
      <c r="P8" s="50" t="s">
        <v>189</v>
      </c>
      <c r="Q8" s="50" t="s">
        <v>190</v>
      </c>
      <c r="R8" s="51" t="s">
        <v>191</v>
      </c>
      <c r="S8" s="50" t="s">
        <v>193</v>
      </c>
      <c r="T8" s="50" t="s">
        <v>194</v>
      </c>
      <c r="U8" s="50" t="s">
        <v>199</v>
      </c>
      <c r="V8" s="50" t="s">
        <v>204</v>
      </c>
      <c r="W8" s="51" t="s">
        <v>203</v>
      </c>
      <c r="X8" s="50" t="s">
        <v>205</v>
      </c>
      <c r="Y8" s="50" t="s">
        <v>213</v>
      </c>
      <c r="Z8" s="50" t="s">
        <v>217</v>
      </c>
      <c r="AA8" s="50" t="s">
        <v>219</v>
      </c>
      <c r="AB8" s="51" t="s">
        <v>218</v>
      </c>
      <c r="AC8" s="50" t="s">
        <v>221</v>
      </c>
    </row>
    <row r="9" spans="2:29" ht="15" customHeight="1">
      <c r="C9" s="126"/>
      <c r="H9" s="126"/>
      <c r="M9" s="126"/>
      <c r="R9" s="126"/>
      <c r="W9" s="126"/>
      <c r="AB9" s="126"/>
    </row>
    <row r="10" spans="2:29" s="160" customFormat="1" ht="15" customHeight="1">
      <c r="B10" s="156" t="s">
        <v>115</v>
      </c>
      <c r="C10" s="157">
        <v>-130760</v>
      </c>
      <c r="D10" s="158">
        <v>-40399</v>
      </c>
      <c r="E10" s="158">
        <v>-37870</v>
      </c>
      <c r="F10" s="158">
        <v>-27257</v>
      </c>
      <c r="G10" s="158">
        <v>-27496</v>
      </c>
      <c r="H10" s="157">
        <v>-133022</v>
      </c>
      <c r="I10" s="158">
        <v>-29246</v>
      </c>
      <c r="J10" s="158">
        <v>-38480</v>
      </c>
      <c r="K10" s="158">
        <v>-37807</v>
      </c>
      <c r="L10" s="158">
        <f>'GAAP to Non-GAAP Inc Stmt'!P55</f>
        <v>-73823</v>
      </c>
      <c r="M10" s="157">
        <f>SUM(I10:L10)</f>
        <v>-179356</v>
      </c>
      <c r="N10" s="159">
        <f>'Income Statement'!N27</f>
        <v>-42493</v>
      </c>
      <c r="O10" s="159">
        <f>'Income Statement'!O27</f>
        <v>-45493</v>
      </c>
      <c r="P10" s="159">
        <f>'Income Statement'!P27</f>
        <v>-38327</v>
      </c>
      <c r="Q10" s="158">
        <f>'GAAP to Non-GAAP Inc Stmt'!U55</f>
        <v>-39224</v>
      </c>
      <c r="R10" s="157">
        <f>SUM(N10:Q10)</f>
        <v>-165537</v>
      </c>
      <c r="S10" s="159">
        <f>'Income Statement'!S27</f>
        <v>-25544</v>
      </c>
      <c r="T10" s="159">
        <f>'Income Statement'!T27</f>
        <v>-27077</v>
      </c>
      <c r="U10" s="159">
        <f>'Income Statement'!U27</f>
        <v>-15867</v>
      </c>
      <c r="V10" s="159">
        <f>'Income Statement'!V27</f>
        <v>-52312</v>
      </c>
      <c r="W10" s="157">
        <f>SUM(S10:V10)</f>
        <v>-120800</v>
      </c>
      <c r="X10" s="159">
        <f>'Income Statement'!X27</f>
        <v>13000</v>
      </c>
      <c r="Y10" s="159">
        <f>'Income Statement'!Y27</f>
        <v>-6032</v>
      </c>
      <c r="Z10" s="159">
        <f>'Income Statement'!Z27</f>
        <v>-14027</v>
      </c>
      <c r="AA10" s="159">
        <f>'Income Statement'!AA27</f>
        <v>-28016</v>
      </c>
      <c r="AB10" s="157">
        <f>SUM(X10:AA10)</f>
        <v>-35075</v>
      </c>
      <c r="AC10" s="159">
        <f>'Income Statement'!AC27</f>
        <v>-24903</v>
      </c>
    </row>
    <row r="11" spans="2:29" ht="15" customHeight="1">
      <c r="B11" s="161" t="s">
        <v>112</v>
      </c>
      <c r="C11" s="162">
        <v>-45184</v>
      </c>
      <c r="D11" s="163">
        <v>-14184</v>
      </c>
      <c r="E11" s="163">
        <v>-12679</v>
      </c>
      <c r="F11" s="163">
        <v>-30374</v>
      </c>
      <c r="G11" s="163">
        <v>-8486</v>
      </c>
      <c r="H11" s="162">
        <f>SUM(D11:G11)</f>
        <v>-65723</v>
      </c>
      <c r="I11" s="163">
        <v>-1428</v>
      </c>
      <c r="J11" s="163">
        <v>2700</v>
      </c>
      <c r="K11" s="163">
        <v>-22546</v>
      </c>
      <c r="L11" s="163">
        <f>EBITDA!L11</f>
        <v>-24135</v>
      </c>
      <c r="M11" s="162">
        <f>SUM(I11:L11)</f>
        <v>-45409</v>
      </c>
      <c r="N11" s="164">
        <f>'Income Statement'!N29</f>
        <v>-353</v>
      </c>
      <c r="O11" s="164">
        <f>'Income Statement'!O29</f>
        <v>-5291</v>
      </c>
      <c r="P11" s="164">
        <f>'Income Statement'!P29</f>
        <v>-287</v>
      </c>
      <c r="Q11" s="163">
        <f>EBITDA!Q11</f>
        <v>-34345</v>
      </c>
      <c r="R11" s="162">
        <f>SUM(N11:Q11)</f>
        <v>-40276</v>
      </c>
      <c r="S11" s="164">
        <f>'Income Statement'!S29</f>
        <v>-3816</v>
      </c>
      <c r="T11" s="164">
        <f>'Income Statement'!T29</f>
        <v>-3109</v>
      </c>
      <c r="U11" s="164">
        <f>'Income Statement'!U29</f>
        <v>-4142</v>
      </c>
      <c r="V11" s="164">
        <f>'Income Statement'!V29</f>
        <v>-19465</v>
      </c>
      <c r="W11" s="162">
        <f>SUM(S11:V11)</f>
        <v>-30532</v>
      </c>
      <c r="X11" s="164">
        <f>'Income Statement'!X29</f>
        <v>-4365</v>
      </c>
      <c r="Y11" s="164">
        <f>'Income Statement'!Y29</f>
        <v>399</v>
      </c>
      <c r="Z11" s="164">
        <f>'Income Statement'!Z29</f>
        <v>1348</v>
      </c>
      <c r="AA11" s="164">
        <f>'Income Statement'!AA29</f>
        <v>1376</v>
      </c>
      <c r="AB11" s="162">
        <f>SUM(X11:AA11)</f>
        <v>-1242</v>
      </c>
      <c r="AC11" s="164">
        <f>'Income Statement'!AC29</f>
        <v>2315</v>
      </c>
    </row>
    <row r="12" spans="2:29" s="83" customFormat="1" ht="15" customHeight="1">
      <c r="B12" s="165" t="s">
        <v>116</v>
      </c>
      <c r="C12" s="166">
        <f>C10-C11</f>
        <v>-85576</v>
      </c>
      <c r="D12" s="167">
        <f t="shared" ref="D12:M12" si="0">D10-D11</f>
        <v>-26215</v>
      </c>
      <c r="E12" s="167">
        <f t="shared" si="0"/>
        <v>-25191</v>
      </c>
      <c r="F12" s="167">
        <f t="shared" si="0"/>
        <v>3117</v>
      </c>
      <c r="G12" s="167">
        <f t="shared" si="0"/>
        <v>-19010</v>
      </c>
      <c r="H12" s="166">
        <f t="shared" si="0"/>
        <v>-67299</v>
      </c>
      <c r="I12" s="167">
        <f t="shared" si="0"/>
        <v>-27818</v>
      </c>
      <c r="J12" s="167">
        <f t="shared" si="0"/>
        <v>-41180</v>
      </c>
      <c r="K12" s="167">
        <f t="shared" si="0"/>
        <v>-15261</v>
      </c>
      <c r="L12" s="167">
        <f t="shared" si="0"/>
        <v>-49688</v>
      </c>
      <c r="M12" s="166">
        <f t="shared" si="0"/>
        <v>-133947</v>
      </c>
      <c r="N12" s="168">
        <f t="shared" ref="N12:O12" si="1">N10-N11</f>
        <v>-42140</v>
      </c>
      <c r="O12" s="168">
        <f t="shared" si="1"/>
        <v>-40202</v>
      </c>
      <c r="P12" s="168">
        <f t="shared" ref="P12:T12" si="2">P10-P11</f>
        <v>-38040</v>
      </c>
      <c r="Q12" s="167">
        <f t="shared" si="2"/>
        <v>-4879</v>
      </c>
      <c r="R12" s="166">
        <f t="shared" si="2"/>
        <v>-125261</v>
      </c>
      <c r="S12" s="168">
        <f t="shared" si="2"/>
        <v>-21728</v>
      </c>
      <c r="T12" s="168">
        <f t="shared" si="2"/>
        <v>-23968</v>
      </c>
      <c r="U12" s="168">
        <f t="shared" ref="U12:W12" si="3">U10-U11</f>
        <v>-11725</v>
      </c>
      <c r="V12" s="168">
        <f t="shared" si="3"/>
        <v>-32847</v>
      </c>
      <c r="W12" s="166">
        <f t="shared" si="3"/>
        <v>-90268</v>
      </c>
      <c r="X12" s="168">
        <f t="shared" ref="X12:Y12" si="4">X10-X11</f>
        <v>17365</v>
      </c>
      <c r="Y12" s="168">
        <f t="shared" si="4"/>
        <v>-6431</v>
      </c>
      <c r="Z12" s="168">
        <f t="shared" ref="Z12:AB12" si="5">Z10-Z11</f>
        <v>-15375</v>
      </c>
      <c r="AA12" s="168">
        <f t="shared" si="5"/>
        <v>-29392</v>
      </c>
      <c r="AB12" s="166">
        <f t="shared" si="5"/>
        <v>-33833</v>
      </c>
      <c r="AC12" s="168">
        <f t="shared" ref="AC12" si="6">AC10-AC11</f>
        <v>-27218</v>
      </c>
    </row>
    <row r="13" spans="2:29" s="49" customFormat="1" ht="15" customHeight="1">
      <c r="B13" s="170"/>
      <c r="C13" s="126"/>
      <c r="D13" s="171"/>
      <c r="E13" s="171"/>
      <c r="F13" s="171"/>
      <c r="G13" s="171"/>
      <c r="H13" s="126"/>
      <c r="I13" s="171"/>
      <c r="J13" s="171"/>
      <c r="K13" s="171"/>
      <c r="L13" s="171"/>
      <c r="M13" s="126"/>
      <c r="N13" s="171"/>
      <c r="O13" s="171"/>
      <c r="P13" s="171"/>
      <c r="Q13" s="171"/>
      <c r="R13" s="126"/>
      <c r="S13" s="171"/>
      <c r="T13" s="171"/>
      <c r="U13" s="171"/>
      <c r="V13" s="171"/>
      <c r="W13" s="126"/>
      <c r="X13" s="171"/>
      <c r="Y13" s="171"/>
      <c r="Z13" s="171"/>
      <c r="AA13" s="171"/>
      <c r="AB13" s="126"/>
      <c r="AC13" s="171"/>
    </row>
    <row r="14" spans="2:29" s="83" customFormat="1" ht="15" customHeight="1">
      <c r="B14" s="172" t="s">
        <v>15</v>
      </c>
      <c r="C14" s="173"/>
      <c r="D14" s="174"/>
      <c r="E14" s="174"/>
      <c r="F14" s="174"/>
      <c r="G14" s="174"/>
      <c r="H14" s="173"/>
      <c r="I14" s="174"/>
      <c r="J14" s="174"/>
      <c r="K14" s="174"/>
      <c r="L14" s="174"/>
      <c r="M14" s="173"/>
      <c r="N14" s="174"/>
      <c r="O14" s="174"/>
      <c r="P14" s="174"/>
      <c r="Q14" s="174"/>
      <c r="R14" s="173"/>
      <c r="S14" s="174"/>
      <c r="T14" s="174"/>
      <c r="U14" s="174"/>
      <c r="V14" s="174"/>
      <c r="W14" s="173"/>
      <c r="X14" s="174"/>
      <c r="Y14" s="174"/>
      <c r="Z14" s="174"/>
      <c r="AA14" s="174"/>
      <c r="AB14" s="173"/>
      <c r="AC14" s="174"/>
    </row>
    <row r="15" spans="2:29" s="49" customFormat="1" ht="15" customHeight="1">
      <c r="B15" s="170" t="s">
        <v>16</v>
      </c>
      <c r="C15" s="175">
        <v>-1.1579773027612832</v>
      </c>
      <c r="D15" s="176">
        <v>-0.33</v>
      </c>
      <c r="E15" s="176">
        <v>-0.32</v>
      </c>
      <c r="F15" s="176">
        <v>0.04</v>
      </c>
      <c r="G15" s="176">
        <v>-0.24</v>
      </c>
      <c r="H15" s="175">
        <v>-0.85</v>
      </c>
      <c r="I15" s="176">
        <v>-0.36</v>
      </c>
      <c r="J15" s="176">
        <v>-0.53</v>
      </c>
      <c r="K15" s="176">
        <v>-0.2</v>
      </c>
      <c r="L15" s="176">
        <v>-0.73</v>
      </c>
      <c r="M15" s="175">
        <v>-1.79</v>
      </c>
      <c r="N15" s="176">
        <f>N16</f>
        <v>-0.61</v>
      </c>
      <c r="O15" s="176">
        <f>O16</f>
        <v>-0.59396607765498488</v>
      </c>
      <c r="P15" s="176">
        <f>P16</f>
        <v>-0.56378106798274863</v>
      </c>
      <c r="Q15" s="176">
        <f>Q16</f>
        <v>-6.1648028427669199E-2</v>
      </c>
      <c r="R15" s="175">
        <f>'Income Statement'!R39</f>
        <v>-1.85</v>
      </c>
      <c r="S15" s="176">
        <f>S16</f>
        <v>-0.33137105383559556</v>
      </c>
      <c r="T15" s="176">
        <f>T16</f>
        <v>-0.36309650053022269</v>
      </c>
      <c r="U15" s="176">
        <f>U16</f>
        <v>-0.17625482915683297</v>
      </c>
      <c r="V15" s="176">
        <f>V16</f>
        <v>-0.48944286331599884</v>
      </c>
      <c r="W15" s="175">
        <f>W12/W34</f>
        <v>-1.3614364249247777</v>
      </c>
      <c r="X15" s="176">
        <f>X12/X34</f>
        <v>0.25414178667603327</v>
      </c>
      <c r="Y15" s="176">
        <f>Y12/Y34</f>
        <v>-9.451515240586697E-2</v>
      </c>
      <c r="Z15" s="176">
        <f>Z12/Z34</f>
        <v>-0.22547294324681039</v>
      </c>
      <c r="AA15" s="176">
        <f>AA16</f>
        <v>-0.43044388793696819</v>
      </c>
      <c r="AB15" s="175">
        <f>AB12/AB34</f>
        <v>-0.4960050431748545</v>
      </c>
      <c r="AC15" s="176">
        <f>AC16</f>
        <v>-0.39790652456763592</v>
      </c>
    </row>
    <row r="16" spans="2:29" s="49" customFormat="1" ht="15" customHeight="1">
      <c r="B16" s="170" t="s">
        <v>17</v>
      </c>
      <c r="C16" s="175">
        <v>-1.1579773027612832</v>
      </c>
      <c r="D16" s="176">
        <f t="shared" ref="D16:M16" si="7">D15</f>
        <v>-0.33</v>
      </c>
      <c r="E16" s="176">
        <f t="shared" si="7"/>
        <v>-0.32</v>
      </c>
      <c r="F16" s="176">
        <f t="shared" si="7"/>
        <v>0.04</v>
      </c>
      <c r="G16" s="176">
        <f t="shared" si="7"/>
        <v>-0.24</v>
      </c>
      <c r="H16" s="175">
        <f t="shared" si="7"/>
        <v>-0.85</v>
      </c>
      <c r="I16" s="176">
        <f t="shared" si="7"/>
        <v>-0.36</v>
      </c>
      <c r="J16" s="176">
        <f t="shared" si="7"/>
        <v>-0.53</v>
      </c>
      <c r="K16" s="176">
        <f t="shared" si="7"/>
        <v>-0.2</v>
      </c>
      <c r="L16" s="176">
        <f t="shared" si="7"/>
        <v>-0.73</v>
      </c>
      <c r="M16" s="175">
        <f t="shared" si="7"/>
        <v>-1.79</v>
      </c>
      <c r="N16" s="176">
        <f>'Income Statement'!N37</f>
        <v>-0.61</v>
      </c>
      <c r="O16" s="176">
        <f>'Income Statement'!O37</f>
        <v>-0.59396607765498488</v>
      </c>
      <c r="P16" s="176">
        <f>'Income Statement'!P37</f>
        <v>-0.56378106798274863</v>
      </c>
      <c r="Q16" s="176">
        <f>'Income Statement'!Q37</f>
        <v>-6.1648028427669199E-2</v>
      </c>
      <c r="R16" s="175">
        <f t="shared" ref="R16" si="8">R15</f>
        <v>-1.85</v>
      </c>
      <c r="S16" s="176">
        <f>'Income Statement'!S37</f>
        <v>-0.33137105383559556</v>
      </c>
      <c r="T16" s="176">
        <f>'Income Statement'!T37</f>
        <v>-0.36309650053022269</v>
      </c>
      <c r="U16" s="176">
        <f>'Income Statement'!U37</f>
        <v>-0.17625482915683297</v>
      </c>
      <c r="V16" s="176">
        <f>'Income Statement'!V37</f>
        <v>-0.48944286331599884</v>
      </c>
      <c r="W16" s="175">
        <f>W12/W34</f>
        <v>-1.3614364249247777</v>
      </c>
      <c r="X16" s="176">
        <f>X12/X35</f>
        <v>0.24947920408016666</v>
      </c>
      <c r="Y16" s="176">
        <f>Y12/Y34</f>
        <v>-9.451515240586697E-2</v>
      </c>
      <c r="Z16" s="176">
        <f>Z12/Z34</f>
        <v>-0.22547294324681039</v>
      </c>
      <c r="AA16" s="176">
        <f>'Income Statement'!AA37</f>
        <v>-0.43044388793696819</v>
      </c>
      <c r="AB16" s="175">
        <f>AB12/AB34</f>
        <v>-0.4960050431748545</v>
      </c>
      <c r="AC16" s="176">
        <f>'Income Statement'!AC37</f>
        <v>-0.39790652456763592</v>
      </c>
    </row>
    <row r="17" spans="2:29" s="49" customFormat="1" ht="15" customHeight="1">
      <c r="B17" s="170"/>
      <c r="C17" s="126"/>
      <c r="D17" s="171"/>
      <c r="E17" s="171"/>
      <c r="F17" s="171"/>
      <c r="G17" s="171"/>
      <c r="H17" s="126"/>
      <c r="I17" s="171"/>
      <c r="J17" s="171"/>
      <c r="K17" s="171"/>
      <c r="L17" s="171"/>
      <c r="M17" s="126"/>
      <c r="N17" s="171"/>
      <c r="O17" s="171"/>
      <c r="P17" s="171"/>
      <c r="Q17" s="171"/>
      <c r="R17" s="126"/>
      <c r="S17" s="171"/>
      <c r="T17" s="171"/>
      <c r="U17" s="171"/>
      <c r="V17" s="171"/>
      <c r="W17" s="126"/>
      <c r="X17" s="171"/>
      <c r="Y17" s="171"/>
      <c r="Z17" s="171"/>
      <c r="AA17" s="171"/>
      <c r="AB17" s="126"/>
      <c r="AC17" s="171"/>
    </row>
    <row r="18" spans="2:29" s="49" customFormat="1" ht="15" customHeight="1">
      <c r="B18" s="177" t="s">
        <v>1</v>
      </c>
      <c r="C18" s="113"/>
      <c r="D18" s="178"/>
      <c r="E18" s="178"/>
      <c r="F18" s="178"/>
      <c r="G18" s="178"/>
      <c r="H18" s="113"/>
      <c r="I18" s="178"/>
      <c r="J18" s="178"/>
      <c r="K18" s="178"/>
      <c r="L18" s="178"/>
      <c r="M18" s="113"/>
      <c r="N18" s="178"/>
      <c r="O18" s="178"/>
      <c r="P18" s="178"/>
      <c r="Q18" s="178"/>
      <c r="R18" s="113"/>
      <c r="S18" s="178"/>
      <c r="T18" s="178"/>
      <c r="U18" s="178"/>
      <c r="V18" s="178"/>
      <c r="W18" s="113"/>
      <c r="X18" s="178"/>
      <c r="Y18" s="178"/>
      <c r="Z18" s="178"/>
      <c r="AA18" s="178"/>
      <c r="AB18" s="113"/>
      <c r="AC18" s="178"/>
    </row>
    <row r="19" spans="2:29" s="49" customFormat="1" ht="15" customHeight="1">
      <c r="B19" s="177" t="s">
        <v>114</v>
      </c>
      <c r="C19" s="179">
        <v>18618.054930000002</v>
      </c>
      <c r="D19" s="180">
        <v>5959</v>
      </c>
      <c r="E19" s="180">
        <v>6015</v>
      </c>
      <c r="F19" s="180">
        <v>5965</v>
      </c>
      <c r="G19" s="180">
        <v>5956</v>
      </c>
      <c r="H19" s="179">
        <f>SUM(D19:G19)</f>
        <v>23895</v>
      </c>
      <c r="I19" s="180">
        <v>5970</v>
      </c>
      <c r="J19" s="180">
        <v>3548</v>
      </c>
      <c r="K19" s="180">
        <v>3359</v>
      </c>
      <c r="L19" s="180">
        <v>2981</v>
      </c>
      <c r="M19" s="179">
        <f t="shared" ref="M19:M24" si="9">SUM(I19:L19)</f>
        <v>15858</v>
      </c>
      <c r="N19" s="180">
        <f>'GAAP to Non-GAAP Inc Stmt'!R47</f>
        <v>3123</v>
      </c>
      <c r="O19" s="180">
        <f>'GAAP to Non-GAAP Inc Stmt'!S47</f>
        <v>5369</v>
      </c>
      <c r="P19" s="180">
        <f>'GAAP to Non-GAAP Inc Stmt'!T47</f>
        <v>5369</v>
      </c>
      <c r="Q19" s="180">
        <f>'GAAP to Non-GAAP Inc Stmt'!U47</f>
        <v>5181</v>
      </c>
      <c r="R19" s="179">
        <f t="shared" ref="R19:R24" si="10">SUM(N19:Q19)</f>
        <v>19042</v>
      </c>
      <c r="S19" s="180">
        <f>'GAAP to Non-GAAP Inc Stmt'!W47</f>
        <v>5306</v>
      </c>
      <c r="T19" s="180">
        <f>'GAAP to Non-GAAP Inc Stmt'!X47</f>
        <v>4350</v>
      </c>
      <c r="U19" s="180">
        <f>'GAAP to Non-GAAP Inc Stmt'!Y47</f>
        <v>4213</v>
      </c>
      <c r="V19" s="180">
        <f>'GAAP to Non-GAAP Inc Stmt'!Z47</f>
        <v>4177</v>
      </c>
      <c r="W19" s="179">
        <f t="shared" ref="W19:W24" si="11">SUM(S19:V19)</f>
        <v>18046</v>
      </c>
      <c r="X19" s="180">
        <f>'GAAP to Non-GAAP Inc Stmt'!AB47</f>
        <v>4645</v>
      </c>
      <c r="Y19" s="180">
        <f>'GAAP to Non-GAAP Inc Stmt'!AC47</f>
        <v>4612</v>
      </c>
      <c r="Z19" s="180">
        <f>'GAAP to Non-GAAP Inc Stmt'!AD47</f>
        <v>4647</v>
      </c>
      <c r="AA19" s="180">
        <f>'GAAP to Non-GAAP Inc Stmt'!AE47</f>
        <v>4807</v>
      </c>
      <c r="AB19" s="179">
        <f t="shared" ref="AB19:AB24" si="12">SUM(X19:AA19)</f>
        <v>18711</v>
      </c>
      <c r="AC19" s="180">
        <f>'GAAP to Non-GAAP Inc Stmt'!AG47</f>
        <v>4643</v>
      </c>
    </row>
    <row r="20" spans="2:29" s="49" customFormat="1" ht="15" customHeight="1">
      <c r="B20" s="177" t="s">
        <v>153</v>
      </c>
      <c r="C20" s="179">
        <v>39795</v>
      </c>
      <c r="D20" s="180">
        <v>12400</v>
      </c>
      <c r="E20" s="180">
        <v>13154</v>
      </c>
      <c r="F20" s="180">
        <v>13290</v>
      </c>
      <c r="G20" s="180">
        <v>14023</v>
      </c>
      <c r="H20" s="179">
        <f t="shared" ref="H20:H24" si="13">SUM(D20:G20)</f>
        <v>52867</v>
      </c>
      <c r="I20" s="180">
        <v>17798</v>
      </c>
      <c r="J20" s="180">
        <v>17667</v>
      </c>
      <c r="K20" s="180">
        <v>26082</v>
      </c>
      <c r="L20" s="180">
        <v>41175</v>
      </c>
      <c r="M20" s="179">
        <f t="shared" si="9"/>
        <v>102722</v>
      </c>
      <c r="N20" s="180">
        <f>'GAAP to Non-GAAP Inc Stmt'!R48</f>
        <v>18630</v>
      </c>
      <c r="O20" s="180">
        <f>'GAAP to Non-GAAP Inc Stmt'!S48</f>
        <v>23354</v>
      </c>
      <c r="P20" s="180">
        <f>'GAAP to Non-GAAP Inc Stmt'!T48</f>
        <v>30295</v>
      </c>
      <c r="Q20" s="180">
        <f>'GAAP to Non-GAAP Inc Stmt'!U48</f>
        <v>17168</v>
      </c>
      <c r="R20" s="179">
        <f t="shared" si="10"/>
        <v>89447</v>
      </c>
      <c r="S20" s="180">
        <f>'GAAP to Non-GAAP Inc Stmt'!W48</f>
        <v>16485</v>
      </c>
      <c r="T20" s="180">
        <f>'GAAP to Non-GAAP Inc Stmt'!X48</f>
        <v>24204</v>
      </c>
      <c r="U20" s="180">
        <f>'GAAP to Non-GAAP Inc Stmt'!Y48</f>
        <v>23894</v>
      </c>
      <c r="V20" s="180">
        <f>'GAAP to Non-GAAP Inc Stmt'!Z48</f>
        <v>47124</v>
      </c>
      <c r="W20" s="179">
        <f t="shared" si="11"/>
        <v>111707</v>
      </c>
      <c r="X20" s="180">
        <f>'GAAP to Non-GAAP Inc Stmt'!AB48</f>
        <v>18496</v>
      </c>
      <c r="Y20" s="180">
        <f>'GAAP to Non-GAAP Inc Stmt'!AC48</f>
        <v>19221</v>
      </c>
      <c r="Z20" s="180">
        <f>'GAAP to Non-GAAP Inc Stmt'!AD48</f>
        <v>23758</v>
      </c>
      <c r="AA20" s="180">
        <f>'GAAP to Non-GAAP Inc Stmt'!AE48</f>
        <v>25782</v>
      </c>
      <c r="AB20" s="179">
        <f t="shared" si="12"/>
        <v>87257</v>
      </c>
      <c r="AC20" s="180">
        <f>'GAAP to Non-GAAP Inc Stmt'!AG48</f>
        <v>24225</v>
      </c>
    </row>
    <row r="21" spans="2:29" s="49" customFormat="1" ht="15" customHeight="1">
      <c r="B21" s="177" t="s">
        <v>91</v>
      </c>
      <c r="C21" s="179">
        <v>4672</v>
      </c>
      <c r="D21" s="180">
        <v>-3</v>
      </c>
      <c r="E21" s="180">
        <v>2833</v>
      </c>
      <c r="F21" s="180">
        <v>-788</v>
      </c>
      <c r="G21" s="180">
        <v>681</v>
      </c>
      <c r="H21" s="179">
        <f t="shared" si="13"/>
        <v>2723</v>
      </c>
      <c r="I21" s="180">
        <v>1</v>
      </c>
      <c r="J21" s="180">
        <v>489</v>
      </c>
      <c r="K21" s="180">
        <v>5043</v>
      </c>
      <c r="L21" s="180">
        <v>14400</v>
      </c>
      <c r="M21" s="179">
        <f t="shared" si="9"/>
        <v>19933</v>
      </c>
      <c r="N21" s="180">
        <f>'GAAP to Non-GAAP Inc Stmt'!R49</f>
        <v>2276</v>
      </c>
      <c r="O21" s="180">
        <f>'GAAP to Non-GAAP Inc Stmt'!S49</f>
        <v>45</v>
      </c>
      <c r="P21" s="180">
        <f>'GAAP to Non-GAAP Inc Stmt'!T49</f>
        <v>233</v>
      </c>
      <c r="Q21" s="180">
        <f>'GAAP to Non-GAAP Inc Stmt'!U49</f>
        <v>2447</v>
      </c>
      <c r="R21" s="179">
        <f t="shared" si="10"/>
        <v>5001</v>
      </c>
      <c r="S21" s="180">
        <f>'GAAP to Non-GAAP Inc Stmt'!W49</f>
        <v>1995</v>
      </c>
      <c r="T21" s="180">
        <f>'GAAP to Non-GAAP Inc Stmt'!X49</f>
        <v>-619</v>
      </c>
      <c r="U21" s="180">
        <f>'GAAP to Non-GAAP Inc Stmt'!Y49</f>
        <v>-6</v>
      </c>
      <c r="V21" s="180">
        <f>'GAAP to Non-GAAP Inc Stmt'!Z49</f>
        <v>1345</v>
      </c>
      <c r="W21" s="179">
        <f t="shared" si="11"/>
        <v>2715</v>
      </c>
      <c r="X21" s="180">
        <f>'GAAP to Non-GAAP Inc Stmt'!AB49</f>
        <v>1278</v>
      </c>
      <c r="Y21" s="180">
        <f>'GAAP to Non-GAAP Inc Stmt'!AC49</f>
        <v>18</v>
      </c>
      <c r="Z21" s="180">
        <f>'GAAP to Non-GAAP Inc Stmt'!AD49</f>
        <v>0</v>
      </c>
      <c r="AA21" s="180">
        <f>'GAAP to Non-GAAP Inc Stmt'!AE49</f>
        <v>183</v>
      </c>
      <c r="AB21" s="179">
        <f t="shared" si="12"/>
        <v>1479</v>
      </c>
      <c r="AC21" s="180">
        <f>'GAAP to Non-GAAP Inc Stmt'!AG49</f>
        <v>739</v>
      </c>
    </row>
    <row r="22" spans="2:29" s="49" customFormat="1" ht="15" customHeight="1">
      <c r="B22" s="177" t="s">
        <v>113</v>
      </c>
      <c r="C22" s="179">
        <v>8639.0499999999975</v>
      </c>
      <c r="D22" s="181">
        <v>7119</v>
      </c>
      <c r="E22" s="181">
        <v>5453</v>
      </c>
      <c r="F22" s="181">
        <v>5214.1000000000004</v>
      </c>
      <c r="G22" s="181">
        <v>0</v>
      </c>
      <c r="H22" s="179">
        <f t="shared" si="13"/>
        <v>17786.099999999999</v>
      </c>
      <c r="I22" s="181">
        <v>0</v>
      </c>
      <c r="J22" s="181">
        <v>2122</v>
      </c>
      <c r="K22" s="181">
        <v>700</v>
      </c>
      <c r="L22" s="181">
        <v>-705</v>
      </c>
      <c r="M22" s="179">
        <f t="shared" si="9"/>
        <v>2117</v>
      </c>
      <c r="N22" s="181">
        <v>0</v>
      </c>
      <c r="O22" s="181">
        <v>0</v>
      </c>
      <c r="P22" s="181">
        <v>0</v>
      </c>
      <c r="Q22" s="181">
        <v>0</v>
      </c>
      <c r="R22" s="179">
        <f t="shared" si="10"/>
        <v>0</v>
      </c>
      <c r="S22" s="181">
        <f>'GAAP to Non-GAAP Inc Stmt'!W50</f>
        <v>3605</v>
      </c>
      <c r="T22" s="181">
        <v>258</v>
      </c>
      <c r="U22" s="181">
        <v>0</v>
      </c>
      <c r="V22" s="181">
        <v>0</v>
      </c>
      <c r="W22" s="179">
        <f t="shared" si="11"/>
        <v>3863</v>
      </c>
      <c r="X22" s="181">
        <v>0</v>
      </c>
      <c r="Y22" s="181">
        <v>0</v>
      </c>
      <c r="Z22" s="181">
        <v>0</v>
      </c>
      <c r="AA22" s="181">
        <v>0</v>
      </c>
      <c r="AB22" s="179">
        <f t="shared" si="12"/>
        <v>0</v>
      </c>
      <c r="AC22" s="181">
        <v>0</v>
      </c>
    </row>
    <row r="23" spans="2:29" s="49" customFormat="1" ht="15" customHeight="1">
      <c r="B23" s="292" t="s">
        <v>154</v>
      </c>
      <c r="C23" s="179">
        <v>0</v>
      </c>
      <c r="D23" s="181">
        <v>0</v>
      </c>
      <c r="E23" s="181">
        <v>0</v>
      </c>
      <c r="F23" s="181">
        <v>0</v>
      </c>
      <c r="G23" s="181">
        <v>0</v>
      </c>
      <c r="H23" s="179">
        <f t="shared" si="13"/>
        <v>0</v>
      </c>
      <c r="I23" s="181">
        <v>0</v>
      </c>
      <c r="J23" s="181">
        <v>0</v>
      </c>
      <c r="K23" s="181">
        <v>1959</v>
      </c>
      <c r="L23" s="181">
        <v>1853</v>
      </c>
      <c r="M23" s="179">
        <f t="shared" si="9"/>
        <v>3812</v>
      </c>
      <c r="N23" s="181">
        <f>'GAAP to Non-GAAP Inc Stmt'!R51</f>
        <v>1906</v>
      </c>
      <c r="O23" s="181">
        <f>'GAAP to Non-GAAP Inc Stmt'!S51</f>
        <v>1663</v>
      </c>
      <c r="P23" s="181">
        <f>'GAAP to Non-GAAP Inc Stmt'!T51</f>
        <v>0</v>
      </c>
      <c r="Q23" s="181">
        <v>0</v>
      </c>
      <c r="R23" s="179">
        <f t="shared" si="10"/>
        <v>3569</v>
      </c>
      <c r="S23" s="181">
        <f>'GAAP to Non-GAAP Inc Stmt'!W51</f>
        <v>0</v>
      </c>
      <c r="T23" s="181">
        <f>'GAAP to Non-GAAP Inc Stmt'!X51</f>
        <v>0</v>
      </c>
      <c r="U23" s="181">
        <f>'GAAP to Non-GAAP Inc Stmt'!Y51</f>
        <v>0</v>
      </c>
      <c r="V23" s="181">
        <v>0</v>
      </c>
      <c r="W23" s="179">
        <f t="shared" si="11"/>
        <v>0</v>
      </c>
      <c r="X23" s="181">
        <f>'GAAP to Non-GAAP Inc Stmt'!AB51</f>
        <v>0</v>
      </c>
      <c r="Y23" s="181">
        <f>'GAAP to Non-GAAP Inc Stmt'!AC51</f>
        <v>0</v>
      </c>
      <c r="Z23" s="181">
        <f>'GAAP to Non-GAAP Inc Stmt'!AD51</f>
        <v>0</v>
      </c>
      <c r="AA23" s="181">
        <v>0</v>
      </c>
      <c r="AB23" s="179">
        <f t="shared" si="12"/>
        <v>0</v>
      </c>
      <c r="AC23" s="181">
        <v>0</v>
      </c>
    </row>
    <row r="24" spans="2:29" s="49" customFormat="1" ht="15" customHeight="1">
      <c r="B24" s="292" t="s">
        <v>210</v>
      </c>
      <c r="C24" s="182">
        <v>0</v>
      </c>
      <c r="D24" s="183">
        <v>0</v>
      </c>
      <c r="E24" s="183">
        <v>0</v>
      </c>
      <c r="F24" s="183">
        <v>0</v>
      </c>
      <c r="G24" s="183">
        <v>0</v>
      </c>
      <c r="H24" s="182">
        <f t="shared" si="13"/>
        <v>0</v>
      </c>
      <c r="I24" s="183">
        <v>0</v>
      </c>
      <c r="J24" s="183">
        <v>0</v>
      </c>
      <c r="K24" s="183">
        <v>0</v>
      </c>
      <c r="L24" s="183">
        <v>0</v>
      </c>
      <c r="M24" s="182">
        <f t="shared" si="9"/>
        <v>0</v>
      </c>
      <c r="N24" s="183">
        <v>0</v>
      </c>
      <c r="O24" s="183">
        <v>0</v>
      </c>
      <c r="P24" s="183">
        <v>0</v>
      </c>
      <c r="Q24" s="183">
        <v>0</v>
      </c>
      <c r="R24" s="182">
        <f t="shared" si="10"/>
        <v>0</v>
      </c>
      <c r="S24" s="183">
        <v>0</v>
      </c>
      <c r="T24" s="183">
        <v>0</v>
      </c>
      <c r="U24" s="183">
        <v>0</v>
      </c>
      <c r="V24" s="183">
        <v>0</v>
      </c>
      <c r="W24" s="182">
        <f t="shared" si="11"/>
        <v>0</v>
      </c>
      <c r="X24" s="183">
        <v>-30052</v>
      </c>
      <c r="Y24" s="183">
        <v>0</v>
      </c>
      <c r="Z24" s="183">
        <v>-183</v>
      </c>
      <c r="AA24" s="183">
        <v>0</v>
      </c>
      <c r="AB24" s="182">
        <f t="shared" si="12"/>
        <v>-30235</v>
      </c>
      <c r="AC24" s="183">
        <v>0</v>
      </c>
    </row>
    <row r="25" spans="2:29" s="149" customFormat="1" ht="15" customHeight="1">
      <c r="B25" s="184" t="s">
        <v>18</v>
      </c>
      <c r="C25" s="169">
        <f t="shared" ref="C25:X25" si="14">SUM(C19:C24)</f>
        <v>71724.104930000001</v>
      </c>
      <c r="D25" s="168">
        <f t="shared" si="14"/>
        <v>25475</v>
      </c>
      <c r="E25" s="168">
        <f t="shared" si="14"/>
        <v>27455</v>
      </c>
      <c r="F25" s="168">
        <f t="shared" si="14"/>
        <v>23681.1</v>
      </c>
      <c r="G25" s="168">
        <f t="shared" si="14"/>
        <v>20660</v>
      </c>
      <c r="H25" s="169">
        <f t="shared" si="14"/>
        <v>97271.1</v>
      </c>
      <c r="I25" s="168">
        <f t="shared" si="14"/>
        <v>23769</v>
      </c>
      <c r="J25" s="168">
        <f t="shared" si="14"/>
        <v>23826</v>
      </c>
      <c r="K25" s="168">
        <f t="shared" si="14"/>
        <v>37143</v>
      </c>
      <c r="L25" s="168">
        <f t="shared" si="14"/>
        <v>59704</v>
      </c>
      <c r="M25" s="169">
        <f t="shared" si="14"/>
        <v>144442</v>
      </c>
      <c r="N25" s="168">
        <f t="shared" si="14"/>
        <v>25935</v>
      </c>
      <c r="O25" s="168">
        <f t="shared" si="14"/>
        <v>30431</v>
      </c>
      <c r="P25" s="168">
        <f t="shared" si="14"/>
        <v>35897</v>
      </c>
      <c r="Q25" s="168">
        <f t="shared" si="14"/>
        <v>24796</v>
      </c>
      <c r="R25" s="169">
        <f t="shared" si="14"/>
        <v>117059</v>
      </c>
      <c r="S25" s="168">
        <f t="shared" si="14"/>
        <v>27391</v>
      </c>
      <c r="T25" s="168">
        <f t="shared" si="14"/>
        <v>28193</v>
      </c>
      <c r="U25" s="168">
        <f t="shared" si="14"/>
        <v>28101</v>
      </c>
      <c r="V25" s="168">
        <f t="shared" si="14"/>
        <v>52646</v>
      </c>
      <c r="W25" s="169">
        <f t="shared" si="14"/>
        <v>136331</v>
      </c>
      <c r="X25" s="168">
        <f t="shared" si="14"/>
        <v>-5633</v>
      </c>
      <c r="Y25" s="168">
        <f t="shared" ref="Y25:AB25" si="15">SUM(Y19:Y24)</f>
        <v>23851</v>
      </c>
      <c r="Z25" s="168">
        <f t="shared" si="15"/>
        <v>28222</v>
      </c>
      <c r="AA25" s="168">
        <f t="shared" si="15"/>
        <v>30772</v>
      </c>
      <c r="AB25" s="169">
        <f t="shared" si="15"/>
        <v>77212</v>
      </c>
      <c r="AC25" s="168">
        <f t="shared" ref="AC25" si="16">SUM(AC19:AC24)</f>
        <v>29607</v>
      </c>
    </row>
    <row r="26" spans="2:29" s="49" customFormat="1" ht="15" customHeight="1">
      <c r="B26" s="170"/>
      <c r="C26" s="113"/>
      <c r="D26" s="178"/>
      <c r="E26" s="178"/>
      <c r="F26" s="178"/>
      <c r="G26" s="178"/>
      <c r="H26" s="113"/>
      <c r="I26" s="178"/>
      <c r="J26" s="178"/>
      <c r="K26" s="178"/>
      <c r="L26" s="178"/>
      <c r="M26" s="113"/>
      <c r="N26" s="178"/>
      <c r="O26" s="178"/>
      <c r="P26" s="178"/>
      <c r="Q26" s="178"/>
      <c r="R26" s="113"/>
      <c r="S26" s="178"/>
      <c r="T26" s="178"/>
      <c r="U26" s="178"/>
      <c r="V26" s="178"/>
      <c r="W26" s="113"/>
      <c r="X26" s="178"/>
      <c r="Y26" s="178"/>
      <c r="Z26" s="178"/>
      <c r="AA26" s="178"/>
      <c r="AB26" s="113"/>
      <c r="AC26" s="178"/>
    </row>
    <row r="27" spans="2:29" s="49" customFormat="1" ht="15" customHeight="1">
      <c r="B27" s="170" t="s">
        <v>215</v>
      </c>
      <c r="C27" s="126"/>
      <c r="D27" s="171"/>
      <c r="E27" s="171"/>
      <c r="F27" s="171"/>
      <c r="G27" s="171"/>
      <c r="H27" s="126"/>
      <c r="I27" s="171"/>
      <c r="J27" s="171"/>
      <c r="K27" s="171"/>
      <c r="L27" s="171"/>
      <c r="M27" s="126"/>
      <c r="N27" s="171"/>
      <c r="O27" s="171"/>
      <c r="P27" s="171"/>
      <c r="Q27" s="171"/>
      <c r="R27" s="126"/>
      <c r="S27" s="171"/>
      <c r="T27" s="171"/>
      <c r="U27" s="171"/>
      <c r="V27" s="171"/>
      <c r="W27" s="126"/>
      <c r="X27" s="171"/>
      <c r="Y27" s="171"/>
      <c r="Z27" s="171"/>
      <c r="AA27" s="171"/>
      <c r="AB27" s="126"/>
      <c r="AC27" s="171"/>
    </row>
    <row r="28" spans="2:29" s="49" customFormat="1" ht="15" customHeight="1">
      <c r="B28" s="170" t="s">
        <v>216</v>
      </c>
      <c r="C28" s="185">
        <v>-59035.522600000448</v>
      </c>
      <c r="D28" s="186">
        <v>-14924</v>
      </c>
      <c r="E28" s="186">
        <v>-10415</v>
      </c>
      <c r="F28" s="186">
        <v>-3575.9000000000015</v>
      </c>
      <c r="G28" s="186">
        <v>-6836</v>
      </c>
      <c r="H28" s="185">
        <v>-35750.899999999994</v>
      </c>
      <c r="I28" s="186">
        <v>-5477</v>
      </c>
      <c r="J28" s="186">
        <v>-14654</v>
      </c>
      <c r="K28" s="186">
        <v>-664</v>
      </c>
      <c r="L28" s="186">
        <f>L10+L25</f>
        <v>-14119</v>
      </c>
      <c r="M28" s="185">
        <f>SUM(I28:L28)</f>
        <v>-34914</v>
      </c>
      <c r="N28" s="180">
        <f>N10+N25</f>
        <v>-16558</v>
      </c>
      <c r="O28" s="180">
        <f>O10+O25</f>
        <v>-15062</v>
      </c>
      <c r="P28" s="180">
        <f>P10+P25</f>
        <v>-2430</v>
      </c>
      <c r="Q28" s="186">
        <f>Q10+Q25</f>
        <v>-14428</v>
      </c>
      <c r="R28" s="185">
        <f>SUM(N28:Q28)</f>
        <v>-48478</v>
      </c>
      <c r="S28" s="180">
        <f>S10+S25</f>
        <v>1847</v>
      </c>
      <c r="T28" s="180">
        <f>T10+T25</f>
        <v>1116</v>
      </c>
      <c r="U28" s="180">
        <f>U10+U25</f>
        <v>12234</v>
      </c>
      <c r="V28" s="180">
        <f>V10+V25</f>
        <v>334</v>
      </c>
      <c r="W28" s="185">
        <f>SUM(S28:V28)</f>
        <v>15531</v>
      </c>
      <c r="X28" s="180">
        <f>X10+X25</f>
        <v>7367</v>
      </c>
      <c r="Y28" s="180">
        <f>Y10+Y25</f>
        <v>17819</v>
      </c>
      <c r="Z28" s="180">
        <f>Z10+Z25</f>
        <v>14195</v>
      </c>
      <c r="AA28" s="180">
        <f>AA10+AA25</f>
        <v>2756</v>
      </c>
      <c r="AB28" s="185">
        <f>SUM(X28:AA28)</f>
        <v>42137</v>
      </c>
      <c r="AC28" s="180">
        <f>AC10+AC25</f>
        <v>4704</v>
      </c>
    </row>
    <row r="29" spans="2:29" s="49" customFormat="1" ht="15" customHeight="1">
      <c r="B29" s="187" t="s">
        <v>14</v>
      </c>
      <c r="C29" s="188">
        <v>-22797</v>
      </c>
      <c r="D29" s="189">
        <v>-4556</v>
      </c>
      <c r="E29" s="189">
        <v>-3164</v>
      </c>
      <c r="F29" s="189">
        <v>-2514</v>
      </c>
      <c r="G29" s="189">
        <v>-2352</v>
      </c>
      <c r="H29" s="188">
        <v>-12586</v>
      </c>
      <c r="I29" s="189">
        <v>-1078</v>
      </c>
      <c r="J29" s="189">
        <v>-3790</v>
      </c>
      <c r="K29" s="189">
        <v>-2941</v>
      </c>
      <c r="L29" s="189">
        <v>-5155</v>
      </c>
      <c r="M29" s="188">
        <f>SUM(I29:L29)</f>
        <v>-12964</v>
      </c>
      <c r="N29" s="183">
        <v>-216</v>
      </c>
      <c r="O29" s="183">
        <v>190</v>
      </c>
      <c r="P29" s="183">
        <v>-227</v>
      </c>
      <c r="Q29" s="189">
        <f>'Income Statement'!Q70</f>
        <v>-11199</v>
      </c>
      <c r="R29" s="188">
        <f>SUM(N29:Q29)</f>
        <v>-11452</v>
      </c>
      <c r="S29" s="183">
        <f>'Income Statement'!S70</f>
        <v>934</v>
      </c>
      <c r="T29" s="183">
        <v>-1291</v>
      </c>
      <c r="U29" s="287">
        <v>2347</v>
      </c>
      <c r="V29" s="287">
        <v>-2628</v>
      </c>
      <c r="W29" s="188">
        <f>SUM(S29:V29)</f>
        <v>-638</v>
      </c>
      <c r="X29" s="287">
        <f>'Income Statement'!X70</f>
        <v>865</v>
      </c>
      <c r="Y29" s="287">
        <f>'Income Statement'!Y70</f>
        <v>-12</v>
      </c>
      <c r="Z29" s="287">
        <f>'Income Statement'!Z70</f>
        <v>4271</v>
      </c>
      <c r="AA29" s="287">
        <f>'Income Statement'!AA70</f>
        <v>3391</v>
      </c>
      <c r="AB29" s="188">
        <f>SUM(X29:AA29)</f>
        <v>8515</v>
      </c>
      <c r="AC29" s="287">
        <f>'Income Statement'!AC70</f>
        <v>1237</v>
      </c>
    </row>
    <row r="30" spans="2:29" s="149" customFormat="1" ht="15" customHeight="1">
      <c r="B30" s="184" t="s">
        <v>92</v>
      </c>
      <c r="C30" s="190">
        <f>C28-C29</f>
        <v>-36238.522600000448</v>
      </c>
      <c r="D30" s="191">
        <v>-10368</v>
      </c>
      <c r="E30" s="191">
        <v>-7251</v>
      </c>
      <c r="F30" s="191">
        <v>-1061.9000000000015</v>
      </c>
      <c r="G30" s="191">
        <v>-4484</v>
      </c>
      <c r="H30" s="190">
        <v>-23164.899999999994</v>
      </c>
      <c r="I30" s="191">
        <v>-4399</v>
      </c>
      <c r="J30" s="191">
        <v>-10864</v>
      </c>
      <c r="K30" s="191">
        <v>2277</v>
      </c>
      <c r="L30" s="191">
        <f t="shared" ref="L30:O30" si="17">L28-L29</f>
        <v>-8964</v>
      </c>
      <c r="M30" s="190">
        <f t="shared" si="17"/>
        <v>-21950</v>
      </c>
      <c r="N30" s="191">
        <f t="shared" si="17"/>
        <v>-16342</v>
      </c>
      <c r="O30" s="191">
        <f t="shared" si="17"/>
        <v>-15252</v>
      </c>
      <c r="P30" s="191">
        <f t="shared" ref="P30:T30" si="18">P28-P29</f>
        <v>-2203</v>
      </c>
      <c r="Q30" s="191">
        <f t="shared" si="18"/>
        <v>-3229</v>
      </c>
      <c r="R30" s="190">
        <f t="shared" si="18"/>
        <v>-37026</v>
      </c>
      <c r="S30" s="191">
        <f t="shared" si="18"/>
        <v>913</v>
      </c>
      <c r="T30" s="191">
        <f t="shared" si="18"/>
        <v>2407</v>
      </c>
      <c r="U30" s="191">
        <f t="shared" ref="U30:W30" si="19">U28-U29</f>
        <v>9887</v>
      </c>
      <c r="V30" s="191">
        <f t="shared" si="19"/>
        <v>2962</v>
      </c>
      <c r="W30" s="190">
        <f t="shared" si="19"/>
        <v>16169</v>
      </c>
      <c r="X30" s="191">
        <f t="shared" ref="X30:Y30" si="20">X28-X29</f>
        <v>6502</v>
      </c>
      <c r="Y30" s="191">
        <f t="shared" si="20"/>
        <v>17831</v>
      </c>
      <c r="Z30" s="191">
        <f t="shared" ref="Z30:AB30" si="21">Z28-Z29</f>
        <v>9924</v>
      </c>
      <c r="AA30" s="191">
        <f t="shared" si="21"/>
        <v>-635</v>
      </c>
      <c r="AB30" s="190">
        <f t="shared" si="21"/>
        <v>33622</v>
      </c>
      <c r="AC30" s="191">
        <f t="shared" ref="AC30" si="22">AC28-AC29</f>
        <v>3467</v>
      </c>
    </row>
    <row r="31" spans="2:29" s="49" customFormat="1" ht="15" customHeight="1">
      <c r="B31" s="170"/>
      <c r="C31" s="126"/>
      <c r="D31" s="171"/>
      <c r="E31" s="171"/>
      <c r="F31" s="171"/>
      <c r="G31" s="171"/>
      <c r="H31" s="126"/>
      <c r="I31" s="171"/>
      <c r="J31" s="171"/>
      <c r="K31" s="171"/>
      <c r="L31" s="171"/>
      <c r="M31" s="126"/>
      <c r="N31" s="171"/>
      <c r="O31" s="171"/>
      <c r="P31" s="171"/>
      <c r="Q31" s="171"/>
      <c r="R31" s="126"/>
      <c r="S31" s="171"/>
      <c r="T31" s="171"/>
      <c r="U31" s="171"/>
      <c r="V31" s="171"/>
      <c r="W31" s="126"/>
      <c r="X31" s="171"/>
      <c r="Y31" s="171"/>
      <c r="Z31" s="171"/>
      <c r="AA31" s="171"/>
      <c r="AB31" s="126"/>
      <c r="AC31" s="171"/>
    </row>
    <row r="32" spans="2:29" ht="15" customHeight="1">
      <c r="B32" s="192" t="s">
        <v>214</v>
      </c>
      <c r="C32" s="193">
        <f t="shared" ref="C32:X32" si="23">IF(C30&lt;0,C30/C34,C30/C35)</f>
        <v>-0.46693711554072914</v>
      </c>
      <c r="D32" s="194">
        <f t="shared" si="23"/>
        <v>-0.13178767541183647</v>
      </c>
      <c r="E32" s="194">
        <f t="shared" si="23"/>
        <v>-9.151258913358995E-2</v>
      </c>
      <c r="F32" s="194">
        <f t="shared" si="23"/>
        <v>-1.3434459724453797E-2</v>
      </c>
      <c r="G32" s="194">
        <f t="shared" si="23"/>
        <v>-5.7038186582542547E-2</v>
      </c>
      <c r="H32" s="193">
        <f t="shared" si="23"/>
        <v>-0.29363171971454277</v>
      </c>
      <c r="I32" s="194">
        <f t="shared" si="23"/>
        <v>-5.7178137388704753E-2</v>
      </c>
      <c r="J32" s="194">
        <f t="shared" si="23"/>
        <v>-0.14027476500361533</v>
      </c>
      <c r="K32" s="194">
        <f t="shared" si="23"/>
        <v>2.822470684483229E-2</v>
      </c>
      <c r="L32" s="194">
        <f t="shared" si="23"/>
        <v>-0.13124643113369155</v>
      </c>
      <c r="M32" s="193">
        <f t="shared" si="23"/>
        <v>-0.29258864302852572</v>
      </c>
      <c r="N32" s="194">
        <f t="shared" si="23"/>
        <v>-0.23716367224915103</v>
      </c>
      <c r="O32" s="194">
        <f t="shared" si="23"/>
        <v>-0.22534129188582236</v>
      </c>
      <c r="P32" s="194">
        <f t="shared" si="23"/>
        <v>-3.2650097075867385E-2</v>
      </c>
      <c r="Q32" s="194">
        <f t="shared" si="23"/>
        <v>-4.8210579751257893E-2</v>
      </c>
      <c r="R32" s="193">
        <f t="shared" si="23"/>
        <v>-0.54642857142857137</v>
      </c>
      <c r="S32" s="194">
        <f t="shared" si="23"/>
        <v>1.3558667597309058E-2</v>
      </c>
      <c r="T32" s="194">
        <f t="shared" si="23"/>
        <v>3.4983431195860705E-2</v>
      </c>
      <c r="U32" s="194">
        <f t="shared" si="23"/>
        <v>0.14169831601576496</v>
      </c>
      <c r="V32" s="194">
        <f t="shared" si="23"/>
        <v>4.2353614070208052E-2</v>
      </c>
      <c r="W32" s="193">
        <f t="shared" si="23"/>
        <v>0.23445990770379663</v>
      </c>
      <c r="X32" s="194">
        <f t="shared" si="23"/>
        <v>9.3412829538107894E-2</v>
      </c>
      <c r="Y32" s="194">
        <f t="shared" ref="Y32:AB32" si="24">IF(Y30&lt;0,Y30/Y34,Y30/Y35)</f>
        <v>0.25717912105346663</v>
      </c>
      <c r="Z32" s="194">
        <f t="shared" si="24"/>
        <v>0.14189710886785439</v>
      </c>
      <c r="AA32" s="194">
        <f t="shared" si="24"/>
        <v>-9.2995328266186304E-3</v>
      </c>
      <c r="AB32" s="193">
        <f t="shared" si="24"/>
        <v>0.48335250143760783</v>
      </c>
      <c r="AC32" s="194">
        <f t="shared" ref="AC32" si="25">IF(AC30&lt;0,AC30/AC34,AC30/AC35)</f>
        <v>5.0104776356673167E-2</v>
      </c>
    </row>
    <row r="33" spans="2:29" ht="15" customHeight="1">
      <c r="B33" s="192"/>
      <c r="C33" s="126"/>
      <c r="H33" s="126"/>
      <c r="M33" s="126"/>
      <c r="R33" s="126"/>
      <c r="W33" s="126"/>
      <c r="AB33" s="126"/>
    </row>
    <row r="34" spans="2:29" ht="15" customHeight="1">
      <c r="B34" s="192" t="s">
        <v>19</v>
      </c>
      <c r="C34" s="195">
        <v>77609</v>
      </c>
      <c r="D34" s="196">
        <v>78672</v>
      </c>
      <c r="E34" s="196">
        <v>79235</v>
      </c>
      <c r="F34" s="196">
        <v>79043</v>
      </c>
      <c r="G34" s="196">
        <v>78614</v>
      </c>
      <c r="H34" s="195">
        <v>78891</v>
      </c>
      <c r="I34" s="196">
        <v>76935</v>
      </c>
      <c r="J34" s="196">
        <v>77448</v>
      </c>
      <c r="K34" s="196">
        <v>77398</v>
      </c>
      <c r="L34" s="196">
        <v>68299</v>
      </c>
      <c r="M34" s="195">
        <v>75020</v>
      </c>
      <c r="N34" s="197">
        <v>68906</v>
      </c>
      <c r="O34" s="197">
        <v>67684</v>
      </c>
      <c r="P34" s="197">
        <v>67473</v>
      </c>
      <c r="Q34" s="196">
        <v>66977</v>
      </c>
      <c r="R34" s="195">
        <f>AVERAGE(N34:Q34)</f>
        <v>67760</v>
      </c>
      <c r="S34" s="197">
        <v>65570</v>
      </c>
      <c r="T34" s="197">
        <v>66010</v>
      </c>
      <c r="U34" s="197">
        <v>66523</v>
      </c>
      <c r="V34" s="197">
        <v>67111</v>
      </c>
      <c r="W34" s="195">
        <f>AVERAGE(S34:V34)</f>
        <v>66303.5</v>
      </c>
      <c r="X34" s="197">
        <v>68328</v>
      </c>
      <c r="Y34" s="197">
        <v>68042</v>
      </c>
      <c r="Z34" s="197">
        <v>68190</v>
      </c>
      <c r="AA34" s="197">
        <v>68283</v>
      </c>
      <c r="AB34" s="195">
        <v>68211</v>
      </c>
      <c r="AC34" s="197">
        <v>68403</v>
      </c>
    </row>
    <row r="35" spans="2:29" ht="15" customHeight="1">
      <c r="B35" s="192" t="s">
        <v>20</v>
      </c>
      <c r="C35" s="195">
        <v>77609</v>
      </c>
      <c r="D35" s="196">
        <v>78672</v>
      </c>
      <c r="E35" s="196">
        <v>79235</v>
      </c>
      <c r="F35" s="196">
        <v>79043</v>
      </c>
      <c r="G35" s="196">
        <v>78614</v>
      </c>
      <c r="H35" s="195">
        <v>78891</v>
      </c>
      <c r="I35" s="196">
        <v>76935</v>
      </c>
      <c r="J35" s="196">
        <v>77448</v>
      </c>
      <c r="K35" s="196">
        <v>80674</v>
      </c>
      <c r="L35" s="196">
        <v>68299</v>
      </c>
      <c r="M35" s="195">
        <v>75020</v>
      </c>
      <c r="N35" s="197">
        <v>71685</v>
      </c>
      <c r="O35" s="197">
        <v>70092</v>
      </c>
      <c r="P35" s="197">
        <v>69956</v>
      </c>
      <c r="Q35" s="196">
        <v>68883</v>
      </c>
      <c r="R35" s="195">
        <f>AVERAGE(N35:Q35)</f>
        <v>70154</v>
      </c>
      <c r="S35" s="197">
        <v>67337</v>
      </c>
      <c r="T35" s="197">
        <v>68804</v>
      </c>
      <c r="U35" s="197">
        <v>69775</v>
      </c>
      <c r="V35" s="197">
        <v>69935</v>
      </c>
      <c r="W35" s="195">
        <f>AVERAGE(S35:V35)</f>
        <v>68962.75</v>
      </c>
      <c r="X35" s="197">
        <v>69605</v>
      </c>
      <c r="Y35" s="197">
        <v>69333</v>
      </c>
      <c r="Z35" s="197">
        <v>69938</v>
      </c>
      <c r="AA35" s="197">
        <v>69354</v>
      </c>
      <c r="AB35" s="195">
        <v>69560</v>
      </c>
      <c r="AC35" s="197">
        <v>69195</v>
      </c>
    </row>
    <row r="36" spans="2:29" ht="15" customHeight="1">
      <c r="C36" s="134"/>
      <c r="H36" s="134"/>
      <c r="M36" s="134"/>
      <c r="R36" s="134"/>
      <c r="W36" s="134"/>
      <c r="AB36" s="134"/>
    </row>
    <row r="37" spans="2:29" ht="15" customHeight="1">
      <c r="B37" s="198"/>
    </row>
    <row r="38" spans="2:29" ht="15" customHeight="1">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row>
    <row r="49" spans="3:29" ht="15" customHeight="1">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row>
    <row r="52" spans="3:29"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row>
    <row r="60" spans="3:29" ht="15" customHeight="1">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row>
  </sheetData>
  <hyperlinks>
    <hyperlink ref="C4" location="Cover!A1" display="Back to Main" xr:uid="{EAAF9FBC-4D41-4CE1-BCD5-F44BD7720EBC}"/>
  </hyperlinks>
  <pageMargins left="0.25" right="0.25" top="0.5" bottom="0.5" header="0.3" footer="0.55000000000000004"/>
  <pageSetup scale="50"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AB60"/>
  <sheetViews>
    <sheetView showGridLines="0" zoomScale="80" zoomScaleNormal="80" zoomScaleSheetLayoutView="80" workbookViewId="0">
      <pane xSplit="2" ySplit="7" topLeftCell="N41" activePane="bottomRight" state="frozen"/>
      <selection pane="topRight"/>
      <selection pane="bottomLeft"/>
      <selection pane="bottomRight" activeCell="AB31" sqref="AB31"/>
    </sheetView>
  </sheetViews>
  <sheetFormatPr defaultColWidth="8.7109375" defaultRowHeight="15" customHeight="1" outlineLevelCol="1"/>
  <cols>
    <col min="1" max="1" width="5.5703125" style="1" customWidth="1"/>
    <col min="2" max="2" width="59.42578125" style="1" customWidth="1"/>
    <col min="3" max="3" width="12" style="1" hidden="1" customWidth="1" outlineLevel="1"/>
    <col min="4" max="7" width="12" style="107" hidden="1" customWidth="1" outlineLevel="1"/>
    <col min="8" max="8" width="12" style="107" customWidth="1" collapsed="1"/>
    <col min="9" max="28" width="12" style="107" customWidth="1"/>
    <col min="29" max="16384" width="8.7109375" style="1"/>
  </cols>
  <sheetData>
    <row r="1" spans="1:28" ht="15" customHeight="1">
      <c r="B1" s="199"/>
    </row>
    <row r="4" spans="1:28" ht="15" customHeight="1">
      <c r="C4" s="108" t="s">
        <v>46</v>
      </c>
    </row>
    <row r="5" spans="1:28" ht="15" customHeight="1">
      <c r="B5" s="200" t="s">
        <v>56</v>
      </c>
      <c r="C5" s="12"/>
      <c r="D5" s="201"/>
      <c r="E5" s="201"/>
      <c r="F5" s="201"/>
      <c r="G5" s="201"/>
      <c r="H5" s="201"/>
      <c r="I5" s="201"/>
      <c r="J5" s="201"/>
      <c r="K5" s="201"/>
      <c r="L5" s="201"/>
      <c r="M5" s="201"/>
      <c r="N5" s="201"/>
      <c r="O5" s="201"/>
      <c r="P5" s="201"/>
      <c r="Q5" s="201"/>
      <c r="R5" s="201"/>
      <c r="S5" s="201"/>
      <c r="T5" s="201"/>
      <c r="U5" s="201"/>
      <c r="V5" s="201"/>
      <c r="W5" s="201"/>
      <c r="X5" s="201"/>
      <c r="Y5" s="201"/>
      <c r="Z5" s="201"/>
      <c r="AA5" s="201"/>
      <c r="AB5" s="201"/>
    </row>
    <row r="6" spans="1:28" ht="15" customHeight="1">
      <c r="B6" s="202" t="s">
        <v>54</v>
      </c>
      <c r="C6" s="107"/>
    </row>
    <row r="7" spans="1:28" s="204" customFormat="1" ht="15" customHeight="1">
      <c r="B7" s="203"/>
      <c r="C7" s="50" t="s">
        <v>75</v>
      </c>
      <c r="D7" s="50" t="s">
        <v>76</v>
      </c>
      <c r="E7" s="50" t="s">
        <v>77</v>
      </c>
      <c r="F7" s="50" t="s">
        <v>78</v>
      </c>
      <c r="G7" s="51" t="s">
        <v>44</v>
      </c>
      <c r="H7" s="50" t="s">
        <v>79</v>
      </c>
      <c r="I7" s="50" t="s">
        <v>80</v>
      </c>
      <c r="J7" s="50" t="s">
        <v>81</v>
      </c>
      <c r="K7" s="50" t="s">
        <v>82</v>
      </c>
      <c r="L7" s="51" t="s">
        <v>83</v>
      </c>
      <c r="M7" s="50" t="s">
        <v>151</v>
      </c>
      <c r="N7" s="50" t="s">
        <v>150</v>
      </c>
      <c r="O7" s="50" t="s">
        <v>189</v>
      </c>
      <c r="P7" s="50" t="s">
        <v>190</v>
      </c>
      <c r="Q7" s="51" t="s">
        <v>191</v>
      </c>
      <c r="R7" s="50" t="s">
        <v>193</v>
      </c>
      <c r="S7" s="50" t="s">
        <v>194</v>
      </c>
      <c r="T7" s="50" t="s">
        <v>199</v>
      </c>
      <c r="U7" s="50" t="s">
        <v>204</v>
      </c>
      <c r="V7" s="51" t="s">
        <v>203</v>
      </c>
      <c r="W7" s="50" t="s">
        <v>205</v>
      </c>
      <c r="X7" s="50" t="s">
        <v>213</v>
      </c>
      <c r="Y7" s="50" t="s">
        <v>217</v>
      </c>
      <c r="Z7" s="50" t="s">
        <v>219</v>
      </c>
      <c r="AA7" s="51" t="s">
        <v>218</v>
      </c>
      <c r="AB7" s="50" t="s">
        <v>221</v>
      </c>
    </row>
    <row r="8" spans="1:28" s="204" customFormat="1" ht="15" customHeight="1">
      <c r="B8" s="203"/>
      <c r="C8" s="50"/>
      <c r="D8" s="50"/>
      <c r="E8" s="50"/>
      <c r="F8" s="50"/>
      <c r="G8" s="205"/>
      <c r="H8" s="50"/>
      <c r="I8" s="50"/>
      <c r="J8" s="50"/>
      <c r="K8" s="50"/>
      <c r="L8" s="205"/>
      <c r="M8" s="50"/>
      <c r="N8" s="50"/>
      <c r="O8" s="50"/>
      <c r="P8" s="50"/>
      <c r="Q8" s="205"/>
      <c r="R8" s="50"/>
      <c r="S8" s="50"/>
      <c r="T8" s="50"/>
      <c r="U8" s="50"/>
      <c r="V8" s="205"/>
      <c r="W8" s="50"/>
      <c r="X8" s="50"/>
      <c r="Y8" s="50"/>
      <c r="Z8" s="50"/>
      <c r="AA8" s="205"/>
      <c r="AB8" s="50"/>
    </row>
    <row r="9" spans="1:28" s="209" customFormat="1" ht="15" customHeight="1">
      <c r="B9" s="206" t="s">
        <v>155</v>
      </c>
      <c r="C9" s="207">
        <v>-1300</v>
      </c>
      <c r="D9" s="207">
        <v>-3336</v>
      </c>
      <c r="E9" s="207">
        <v>22941</v>
      </c>
      <c r="F9" s="207">
        <v>5175</v>
      </c>
      <c r="G9" s="208">
        <f>SUM(C9:F9)</f>
        <v>23480</v>
      </c>
      <c r="H9" s="207">
        <v>-3015</v>
      </c>
      <c r="I9" s="207">
        <v>20623</v>
      </c>
      <c r="J9" s="207">
        <v>1056400</v>
      </c>
      <c r="K9" s="207">
        <v>-45461</v>
      </c>
      <c r="L9" s="208">
        <f>SUM(H9:K9)</f>
        <v>1028547</v>
      </c>
      <c r="M9" s="207">
        <v>-42140</v>
      </c>
      <c r="N9" s="207">
        <v>-40202</v>
      </c>
      <c r="O9" s="207">
        <v>-38040</v>
      </c>
      <c r="P9" s="207">
        <v>-4129</v>
      </c>
      <c r="Q9" s="208">
        <f>SUM(M9:P9)</f>
        <v>-124511</v>
      </c>
      <c r="R9" s="207">
        <v>-21728</v>
      </c>
      <c r="S9" s="207">
        <v>-23968</v>
      </c>
      <c r="T9" s="207">
        <v>-11725</v>
      </c>
      <c r="U9" s="207">
        <v>-32847</v>
      </c>
      <c r="V9" s="208">
        <f>SUM(R9:U9)</f>
        <v>-90268</v>
      </c>
      <c r="W9" s="207">
        <v>17365</v>
      </c>
      <c r="X9" s="207">
        <v>-6431</v>
      </c>
      <c r="Y9" s="207">
        <v>-15375</v>
      </c>
      <c r="Z9" s="207">
        <v>-29392</v>
      </c>
      <c r="AA9" s="208">
        <f>SUM(W9:Z9)</f>
        <v>-33833</v>
      </c>
      <c r="AB9" s="207">
        <v>-27218</v>
      </c>
    </row>
    <row r="10" spans="1:28" s="9" customFormat="1" ht="15" customHeight="1">
      <c r="B10" s="199" t="s">
        <v>163</v>
      </c>
      <c r="C10" s="210">
        <v>-24915</v>
      </c>
      <c r="D10" s="210">
        <v>-21855</v>
      </c>
      <c r="E10" s="210">
        <v>-19824</v>
      </c>
      <c r="F10" s="210">
        <v>-24185</v>
      </c>
      <c r="G10" s="211">
        <f>SUM(C10:F10)</f>
        <v>-90779</v>
      </c>
      <c r="H10" s="210">
        <v>-24803</v>
      </c>
      <c r="I10" s="210">
        <v>-61803</v>
      </c>
      <c r="J10" s="210">
        <v>-1071661</v>
      </c>
      <c r="K10" s="210">
        <v>-4227</v>
      </c>
      <c r="L10" s="211">
        <f>SUM(H10:K10)</f>
        <v>-1162494</v>
      </c>
      <c r="M10" s="210">
        <v>0</v>
      </c>
      <c r="N10" s="210">
        <v>0</v>
      </c>
      <c r="O10" s="210">
        <v>0</v>
      </c>
      <c r="P10" s="210">
        <v>-750</v>
      </c>
      <c r="Q10" s="211">
        <f>SUM(M10:P10)</f>
        <v>-750</v>
      </c>
      <c r="R10" s="210">
        <v>0</v>
      </c>
      <c r="S10" s="210">
        <v>0</v>
      </c>
      <c r="T10" s="210">
        <v>0</v>
      </c>
      <c r="U10" s="210">
        <v>0</v>
      </c>
      <c r="V10" s="211">
        <f>SUM(R10:U10)</f>
        <v>0</v>
      </c>
      <c r="W10" s="210">
        <v>0</v>
      </c>
      <c r="X10" s="210">
        <v>0</v>
      </c>
      <c r="Y10" s="210">
        <v>0</v>
      </c>
      <c r="Z10" s="210">
        <v>0</v>
      </c>
      <c r="AA10" s="211">
        <f>SUM(W10:Z10)</f>
        <v>0</v>
      </c>
      <c r="AB10" s="210">
        <v>0</v>
      </c>
    </row>
    <row r="11" spans="1:28" s="9" customFormat="1" ht="15" customHeight="1">
      <c r="B11" s="206" t="s">
        <v>64</v>
      </c>
      <c r="C11" s="210"/>
      <c r="D11" s="210"/>
      <c r="E11" s="210"/>
      <c r="F11" s="210"/>
      <c r="G11" s="211"/>
      <c r="H11" s="210"/>
      <c r="I11" s="210"/>
      <c r="J11" s="210"/>
      <c r="K11" s="210"/>
      <c r="L11" s="211"/>
      <c r="M11" s="210"/>
      <c r="N11" s="210"/>
      <c r="O11" s="210"/>
      <c r="P11" s="210"/>
      <c r="Q11" s="211"/>
      <c r="R11" s="210"/>
      <c r="S11" s="210"/>
      <c r="T11" s="210"/>
      <c r="U11" s="210"/>
      <c r="V11" s="211"/>
      <c r="W11" s="210"/>
      <c r="X11" s="210"/>
      <c r="Y11" s="210"/>
      <c r="Z11" s="210"/>
      <c r="AA11" s="211"/>
      <c r="AB11" s="210"/>
    </row>
    <row r="12" spans="1:28" s="9" customFormat="1" ht="15" customHeight="1">
      <c r="B12" s="199" t="s">
        <v>66</v>
      </c>
      <c r="C12" s="210">
        <v>9193</v>
      </c>
      <c r="D12" s="210">
        <v>9765</v>
      </c>
      <c r="E12" s="210">
        <v>9297</v>
      </c>
      <c r="F12" s="210">
        <v>9392</v>
      </c>
      <c r="G12" s="211">
        <f>SUM(C12:F12)</f>
        <v>37647</v>
      </c>
      <c r="H12" s="210">
        <v>9403</v>
      </c>
      <c r="I12" s="210">
        <v>7018</v>
      </c>
      <c r="J12" s="210">
        <v>8853</v>
      </c>
      <c r="K12" s="210">
        <v>8508</v>
      </c>
      <c r="L12" s="211">
        <f>SUM(H12:K12)</f>
        <v>33782</v>
      </c>
      <c r="M12" s="210">
        <v>8877</v>
      </c>
      <c r="N12" s="210">
        <v>10977</v>
      </c>
      <c r="O12" s="210">
        <v>8104</v>
      </c>
      <c r="P12" s="210">
        <v>7943</v>
      </c>
      <c r="Q12" s="211">
        <f>SUM(M12:P12)</f>
        <v>35901</v>
      </c>
      <c r="R12" s="210">
        <v>8054</v>
      </c>
      <c r="S12" s="210">
        <v>6901</v>
      </c>
      <c r="T12" s="210">
        <v>6509</v>
      </c>
      <c r="U12" s="210">
        <v>6277</v>
      </c>
      <c r="V12" s="211">
        <f>SUM(R12:U12)</f>
        <v>27741</v>
      </c>
      <c r="W12" s="210">
        <v>6585</v>
      </c>
      <c r="X12" s="210">
        <v>5819</v>
      </c>
      <c r="Y12" s="210">
        <v>5827</v>
      </c>
      <c r="Z12" s="210">
        <v>6017</v>
      </c>
      <c r="AA12" s="211">
        <f>SUM(W12:Z12)</f>
        <v>24248</v>
      </c>
      <c r="AB12" s="210">
        <v>5741</v>
      </c>
    </row>
    <row r="13" spans="1:28" s="9" customFormat="1" ht="15" customHeight="1">
      <c r="B13" s="199" t="s">
        <v>164</v>
      </c>
      <c r="C13" s="210">
        <v>-7</v>
      </c>
      <c r="D13" s="210">
        <v>2132</v>
      </c>
      <c r="E13" s="210">
        <v>178</v>
      </c>
      <c r="F13" s="210">
        <v>588</v>
      </c>
      <c r="G13" s="211">
        <f t="shared" ref="G13:G25" si="0">SUM(C13:F13)</f>
        <v>2891</v>
      </c>
      <c r="H13" s="210">
        <v>-15</v>
      </c>
      <c r="I13" s="210">
        <v>490</v>
      </c>
      <c r="J13" s="210">
        <v>2870</v>
      </c>
      <c r="K13" s="210">
        <v>115</v>
      </c>
      <c r="L13" s="211">
        <f t="shared" ref="L13:L25" si="1">SUM(H13:K13)</f>
        <v>3460</v>
      </c>
      <c r="M13" s="210">
        <v>85</v>
      </c>
      <c r="N13" s="210">
        <v>-225</v>
      </c>
      <c r="O13" s="210">
        <v>0</v>
      </c>
      <c r="P13" s="210">
        <v>1865</v>
      </c>
      <c r="Q13" s="211">
        <f t="shared" ref="Q13:Q25" si="2">SUM(M13:P13)</f>
        <v>1725</v>
      </c>
      <c r="R13" s="210">
        <v>2</v>
      </c>
      <c r="S13" s="210">
        <v>331</v>
      </c>
      <c r="T13" s="210">
        <v>1</v>
      </c>
      <c r="U13" s="210">
        <v>54</v>
      </c>
      <c r="V13" s="211">
        <f t="shared" ref="V13:V25" si="3">SUM(R13:U13)</f>
        <v>388</v>
      </c>
      <c r="W13" s="210">
        <v>113</v>
      </c>
      <c r="X13" s="210">
        <v>29</v>
      </c>
      <c r="Y13" s="210">
        <v>0</v>
      </c>
      <c r="Z13" s="210">
        <v>41</v>
      </c>
      <c r="AA13" s="211">
        <f t="shared" ref="AA13:AA18" si="4">SUM(W13:Z13)</f>
        <v>183</v>
      </c>
      <c r="AB13" s="210">
        <v>-5</v>
      </c>
    </row>
    <row r="14" spans="1:28" s="9" customFormat="1" ht="15" customHeight="1">
      <c r="A14" s="9" t="s">
        <v>207</v>
      </c>
      <c r="B14" s="199" t="s">
        <v>208</v>
      </c>
      <c r="C14" s="210">
        <v>0</v>
      </c>
      <c r="D14" s="210">
        <v>0</v>
      </c>
      <c r="E14" s="210">
        <v>0</v>
      </c>
      <c r="F14" s="210">
        <v>0</v>
      </c>
      <c r="G14" s="211">
        <f t="shared" si="0"/>
        <v>0</v>
      </c>
      <c r="H14" s="210">
        <v>0</v>
      </c>
      <c r="I14" s="210">
        <v>0</v>
      </c>
      <c r="J14" s="210">
        <v>0</v>
      </c>
      <c r="K14" s="210">
        <v>0</v>
      </c>
      <c r="L14" s="211">
        <f t="shared" si="1"/>
        <v>0</v>
      </c>
      <c r="M14" s="210">
        <v>0</v>
      </c>
      <c r="N14" s="210">
        <v>0</v>
      </c>
      <c r="O14" s="210">
        <v>0</v>
      </c>
      <c r="P14" s="210">
        <v>0</v>
      </c>
      <c r="Q14" s="211">
        <f t="shared" si="2"/>
        <v>0</v>
      </c>
      <c r="R14" s="210">
        <v>0</v>
      </c>
      <c r="S14" s="210">
        <v>0</v>
      </c>
      <c r="T14" s="210">
        <v>0</v>
      </c>
      <c r="U14" s="210">
        <v>0</v>
      </c>
      <c r="V14" s="211">
        <f t="shared" si="3"/>
        <v>0</v>
      </c>
      <c r="W14" s="210">
        <v>-30052</v>
      </c>
      <c r="X14" s="210">
        <v>0</v>
      </c>
      <c r="Y14" s="210">
        <v>-183</v>
      </c>
      <c r="Z14" s="210">
        <v>0</v>
      </c>
      <c r="AA14" s="211">
        <f t="shared" si="4"/>
        <v>-30235</v>
      </c>
      <c r="AB14" s="210">
        <v>0</v>
      </c>
    </row>
    <row r="15" spans="1:28" s="9" customFormat="1" ht="15" customHeight="1">
      <c r="B15" s="199" t="s">
        <v>165</v>
      </c>
      <c r="C15" s="210">
        <v>-42</v>
      </c>
      <c r="D15" s="210">
        <v>304</v>
      </c>
      <c r="E15" s="210">
        <v>60</v>
      </c>
      <c r="F15" s="210">
        <v>892</v>
      </c>
      <c r="G15" s="211">
        <f t="shared" si="0"/>
        <v>1214</v>
      </c>
      <c r="H15" s="210">
        <v>-464</v>
      </c>
      <c r="I15" s="210">
        <v>1095</v>
      </c>
      <c r="J15" s="210">
        <v>628</v>
      </c>
      <c r="K15" s="210">
        <v>1810</v>
      </c>
      <c r="L15" s="211">
        <f t="shared" si="1"/>
        <v>3069</v>
      </c>
      <c r="M15" s="210">
        <v>962</v>
      </c>
      <c r="N15" s="210">
        <v>1468</v>
      </c>
      <c r="O15" s="210">
        <v>1253</v>
      </c>
      <c r="P15" s="210">
        <v>3450</v>
      </c>
      <c r="Q15" s="211">
        <f t="shared" si="2"/>
        <v>7133</v>
      </c>
      <c r="R15" s="210">
        <v>1330</v>
      </c>
      <c r="S15" s="210">
        <v>1192</v>
      </c>
      <c r="T15" s="210">
        <v>824</v>
      </c>
      <c r="U15" s="210">
        <v>-431</v>
      </c>
      <c r="V15" s="211">
        <f t="shared" si="3"/>
        <v>2915</v>
      </c>
      <c r="W15" s="210">
        <v>955</v>
      </c>
      <c r="X15" s="210">
        <v>327</v>
      </c>
      <c r="Y15" s="210">
        <v>1845</v>
      </c>
      <c r="Z15" s="210">
        <v>1090</v>
      </c>
      <c r="AA15" s="211">
        <f t="shared" si="4"/>
        <v>4217</v>
      </c>
      <c r="AB15" s="210">
        <v>997</v>
      </c>
    </row>
    <row r="16" spans="1:28" s="9" customFormat="1" ht="15" customHeight="1">
      <c r="B16" s="199" t="s">
        <v>67</v>
      </c>
      <c r="C16" s="210">
        <v>720</v>
      </c>
      <c r="D16" s="210">
        <v>0</v>
      </c>
      <c r="E16" s="210">
        <v>0</v>
      </c>
      <c r="F16" s="210">
        <v>0</v>
      </c>
      <c r="G16" s="211">
        <f t="shared" si="0"/>
        <v>720</v>
      </c>
      <c r="H16" s="210">
        <v>0</v>
      </c>
      <c r="I16" s="210">
        <v>0</v>
      </c>
      <c r="J16" s="210">
        <v>0</v>
      </c>
      <c r="K16" s="210">
        <v>0</v>
      </c>
      <c r="L16" s="211">
        <f t="shared" si="1"/>
        <v>0</v>
      </c>
      <c r="M16" s="210">
        <v>0</v>
      </c>
      <c r="N16" s="210">
        <v>0</v>
      </c>
      <c r="O16" s="210">
        <v>0</v>
      </c>
      <c r="P16" s="210">
        <v>0</v>
      </c>
      <c r="Q16" s="211">
        <f t="shared" si="2"/>
        <v>0</v>
      </c>
      <c r="R16" s="210">
        <v>0</v>
      </c>
      <c r="S16" s="210">
        <v>0</v>
      </c>
      <c r="T16" s="210">
        <v>0</v>
      </c>
      <c r="U16" s="210">
        <v>0</v>
      </c>
      <c r="V16" s="211">
        <f t="shared" si="3"/>
        <v>0</v>
      </c>
      <c r="W16" s="210">
        <v>0</v>
      </c>
      <c r="X16" s="210">
        <v>0</v>
      </c>
      <c r="Y16" s="210">
        <v>0</v>
      </c>
      <c r="Z16" s="210">
        <v>0</v>
      </c>
      <c r="AA16" s="211">
        <f t="shared" si="4"/>
        <v>0</v>
      </c>
      <c r="AB16" s="210">
        <v>0</v>
      </c>
    </row>
    <row r="17" spans="2:28" s="9" customFormat="1" ht="15" customHeight="1">
      <c r="B17" s="199" t="s">
        <v>57</v>
      </c>
      <c r="C17" s="210">
        <v>2848</v>
      </c>
      <c r="D17" s="210">
        <v>-5480</v>
      </c>
      <c r="E17" s="210">
        <v>-28757</v>
      </c>
      <c r="F17" s="210">
        <v>3591</v>
      </c>
      <c r="G17" s="211">
        <f t="shared" si="0"/>
        <v>-27798</v>
      </c>
      <c r="H17" s="210">
        <v>-1692</v>
      </c>
      <c r="I17" s="210">
        <v>14136</v>
      </c>
      <c r="J17" s="210">
        <v>16089</v>
      </c>
      <c r="K17" s="210">
        <v>-18639</v>
      </c>
      <c r="L17" s="211">
        <f t="shared" si="1"/>
        <v>9894</v>
      </c>
      <c r="M17" s="210">
        <v>7</v>
      </c>
      <c r="N17" s="210">
        <v>-5090</v>
      </c>
      <c r="O17" s="210">
        <v>6548</v>
      </c>
      <c r="P17" s="210">
        <v>-8343</v>
      </c>
      <c r="Q17" s="211">
        <f t="shared" si="2"/>
        <v>-6878</v>
      </c>
      <c r="R17" s="210">
        <v>-672</v>
      </c>
      <c r="S17" s="210">
        <v>187</v>
      </c>
      <c r="T17" s="210">
        <v>485</v>
      </c>
      <c r="U17" s="210">
        <v>-1418</v>
      </c>
      <c r="V17" s="211">
        <f t="shared" si="3"/>
        <v>-1418</v>
      </c>
      <c r="W17" s="210">
        <v>-912</v>
      </c>
      <c r="X17" s="210">
        <v>141</v>
      </c>
      <c r="Y17" s="210">
        <v>315</v>
      </c>
      <c r="Z17" s="210">
        <v>-1084</v>
      </c>
      <c r="AA17" s="211">
        <f t="shared" si="4"/>
        <v>-1540</v>
      </c>
      <c r="AB17" s="210">
        <v>187</v>
      </c>
    </row>
    <row r="18" spans="2:28" s="9" customFormat="1" ht="15" customHeight="1">
      <c r="B18" s="199" t="s">
        <v>58</v>
      </c>
      <c r="C18" s="210">
        <v>12400</v>
      </c>
      <c r="D18" s="210">
        <v>13154</v>
      </c>
      <c r="E18" s="210">
        <v>13290</v>
      </c>
      <c r="F18" s="210">
        <v>14023</v>
      </c>
      <c r="G18" s="211">
        <f t="shared" si="0"/>
        <v>52867</v>
      </c>
      <c r="H18" s="210">
        <v>17798</v>
      </c>
      <c r="I18" s="210">
        <v>17667</v>
      </c>
      <c r="J18" s="210">
        <v>26082</v>
      </c>
      <c r="K18" s="210">
        <v>41175</v>
      </c>
      <c r="L18" s="211">
        <f t="shared" si="1"/>
        <v>102722</v>
      </c>
      <c r="M18" s="210">
        <v>18630</v>
      </c>
      <c r="N18" s="210">
        <v>23354</v>
      </c>
      <c r="O18" s="210">
        <v>30295</v>
      </c>
      <c r="P18" s="210">
        <v>17168</v>
      </c>
      <c r="Q18" s="211">
        <f t="shared" si="2"/>
        <v>89447</v>
      </c>
      <c r="R18" s="210">
        <v>16485</v>
      </c>
      <c r="S18" s="210">
        <v>24204</v>
      </c>
      <c r="T18" s="210">
        <v>23894</v>
      </c>
      <c r="U18" s="210">
        <v>47124</v>
      </c>
      <c r="V18" s="211">
        <f t="shared" si="3"/>
        <v>111707</v>
      </c>
      <c r="W18" s="210">
        <v>18496</v>
      </c>
      <c r="X18" s="210">
        <v>19221</v>
      </c>
      <c r="Y18" s="210">
        <v>23758</v>
      </c>
      <c r="Z18" s="210">
        <v>25782</v>
      </c>
      <c r="AA18" s="211">
        <f t="shared" si="4"/>
        <v>87257</v>
      </c>
      <c r="AB18" s="210">
        <v>24225</v>
      </c>
    </row>
    <row r="19" spans="2:28" s="9" customFormat="1" ht="15" customHeight="1">
      <c r="B19" s="199" t="s">
        <v>166</v>
      </c>
      <c r="C19" s="210"/>
      <c r="D19" s="210"/>
      <c r="E19" s="210"/>
      <c r="F19" s="210"/>
      <c r="G19" s="211"/>
      <c r="H19" s="210"/>
      <c r="I19" s="210"/>
      <c r="J19" s="210"/>
      <c r="K19" s="210"/>
      <c r="L19" s="211"/>
      <c r="M19" s="210"/>
      <c r="N19" s="210"/>
      <c r="O19" s="210"/>
      <c r="P19" s="210"/>
      <c r="Q19" s="211"/>
      <c r="R19" s="210"/>
      <c r="S19" s="210"/>
      <c r="T19" s="210"/>
      <c r="U19" s="210"/>
      <c r="V19" s="211"/>
      <c r="W19" s="210"/>
      <c r="X19" s="210"/>
      <c r="Y19" s="210"/>
      <c r="Z19" s="210"/>
      <c r="AA19" s="211"/>
      <c r="AB19" s="210"/>
    </row>
    <row r="20" spans="2:28" s="9" customFormat="1" ht="15" customHeight="1">
      <c r="B20" s="199" t="s">
        <v>68</v>
      </c>
      <c r="C20" s="210">
        <v>3626</v>
      </c>
      <c r="D20" s="210">
        <v>-8301</v>
      </c>
      <c r="E20" s="210">
        <v>-5143</v>
      </c>
      <c r="F20" s="210">
        <v>-3885</v>
      </c>
      <c r="G20" s="211">
        <f t="shared" si="0"/>
        <v>-13703</v>
      </c>
      <c r="H20" s="210">
        <v>-852</v>
      </c>
      <c r="I20" s="210">
        <v>-1797</v>
      </c>
      <c r="J20" s="210">
        <v>-32362</v>
      </c>
      <c r="K20" s="210">
        <v>-9400</v>
      </c>
      <c r="L20" s="211">
        <f t="shared" si="1"/>
        <v>-44411</v>
      </c>
      <c r="M20" s="210">
        <v>-3451</v>
      </c>
      <c r="N20" s="210">
        <v>-7807</v>
      </c>
      <c r="O20" s="210">
        <v>-593</v>
      </c>
      <c r="P20" s="210">
        <v>-8667</v>
      </c>
      <c r="Q20" s="211">
        <f t="shared" si="2"/>
        <v>-20518</v>
      </c>
      <c r="R20" s="210">
        <v>-5860</v>
      </c>
      <c r="S20" s="210">
        <v>-3724</v>
      </c>
      <c r="T20" s="210">
        <v>-17062</v>
      </c>
      <c r="U20" s="210">
        <v>1818</v>
      </c>
      <c r="V20" s="211">
        <f t="shared" si="3"/>
        <v>-24828</v>
      </c>
      <c r="W20" s="210">
        <v>-7049</v>
      </c>
      <c r="X20" s="210">
        <v>-11024</v>
      </c>
      <c r="Y20" s="210">
        <v>-27803</v>
      </c>
      <c r="Z20" s="210">
        <v>7265</v>
      </c>
      <c r="AA20" s="211">
        <f t="shared" ref="AA20:AA25" si="5">SUM(W20:Z20)</f>
        <v>-38611</v>
      </c>
      <c r="AB20" s="210">
        <v>-7733</v>
      </c>
    </row>
    <row r="21" spans="2:28" s="9" customFormat="1" ht="15" customHeight="1">
      <c r="B21" s="199" t="s">
        <v>69</v>
      </c>
      <c r="C21" s="210">
        <v>0</v>
      </c>
      <c r="D21" s="210">
        <v>0</v>
      </c>
      <c r="E21" s="210">
        <v>0</v>
      </c>
      <c r="F21" s="210">
        <v>0</v>
      </c>
      <c r="G21" s="211">
        <f t="shared" si="0"/>
        <v>0</v>
      </c>
      <c r="H21" s="210">
        <v>-998</v>
      </c>
      <c r="I21" s="210">
        <v>-1049</v>
      </c>
      <c r="J21" s="210">
        <v>-988</v>
      </c>
      <c r="K21" s="210">
        <v>-1263</v>
      </c>
      <c r="L21" s="211">
        <f t="shared" si="1"/>
        <v>-4298</v>
      </c>
      <c r="M21" s="210">
        <v>174</v>
      </c>
      <c r="N21" s="210">
        <v>-780</v>
      </c>
      <c r="O21" s="210">
        <v>-2104</v>
      </c>
      <c r="P21" s="210">
        <v>-2563</v>
      </c>
      <c r="Q21" s="211">
        <f t="shared" si="2"/>
        <v>-5273</v>
      </c>
      <c r="R21" s="210">
        <v>-1681</v>
      </c>
      <c r="S21" s="210">
        <v>-1764</v>
      </c>
      <c r="T21" s="210">
        <v>-1637</v>
      </c>
      <c r="U21" s="210">
        <v>-1523</v>
      </c>
      <c r="V21" s="211">
        <f t="shared" si="3"/>
        <v>-6605</v>
      </c>
      <c r="W21" s="210">
        <v>-3383</v>
      </c>
      <c r="X21" s="210">
        <v>-1986</v>
      </c>
      <c r="Y21" s="210">
        <v>-1495</v>
      </c>
      <c r="Z21" s="210">
        <v>-1111</v>
      </c>
      <c r="AA21" s="211">
        <f t="shared" si="5"/>
        <v>-7975</v>
      </c>
      <c r="AB21" s="210">
        <v>-369</v>
      </c>
    </row>
    <row r="22" spans="2:28" s="9" customFormat="1" ht="15" customHeight="1">
      <c r="B22" s="199" t="s">
        <v>70</v>
      </c>
      <c r="C22" s="210">
        <v>1253</v>
      </c>
      <c r="D22" s="210">
        <v>231</v>
      </c>
      <c r="E22" s="210">
        <v>148</v>
      </c>
      <c r="F22" s="210">
        <v>-1070</v>
      </c>
      <c r="G22" s="211">
        <f t="shared" si="0"/>
        <v>562</v>
      </c>
      <c r="H22" s="210">
        <v>-574</v>
      </c>
      <c r="I22" s="210">
        <v>1838</v>
      </c>
      <c r="J22" s="210">
        <v>-6151</v>
      </c>
      <c r="K22" s="210">
        <v>1781</v>
      </c>
      <c r="L22" s="211">
        <f t="shared" si="1"/>
        <v>-3106</v>
      </c>
      <c r="M22" s="210">
        <v>3600</v>
      </c>
      <c r="N22" s="210">
        <v>-7497</v>
      </c>
      <c r="O22" s="210">
        <v>6301</v>
      </c>
      <c r="P22" s="210">
        <v>-8548</v>
      </c>
      <c r="Q22" s="211">
        <f t="shared" si="2"/>
        <v>-6144</v>
      </c>
      <c r="R22" s="210">
        <v>4904</v>
      </c>
      <c r="S22" s="210">
        <v>2799</v>
      </c>
      <c r="T22" s="210">
        <v>-192</v>
      </c>
      <c r="U22" s="210">
        <v>-26283</v>
      </c>
      <c r="V22" s="211">
        <f t="shared" si="3"/>
        <v>-18772</v>
      </c>
      <c r="W22" s="210">
        <v>19336</v>
      </c>
      <c r="X22" s="210">
        <v>4072</v>
      </c>
      <c r="Y22" s="210">
        <v>-1331</v>
      </c>
      <c r="Z22" s="210">
        <v>4786</v>
      </c>
      <c r="AA22" s="211">
        <f t="shared" si="5"/>
        <v>26863</v>
      </c>
      <c r="AB22" s="210">
        <v>4352</v>
      </c>
    </row>
    <row r="23" spans="2:28" s="9" customFormat="1" ht="15" customHeight="1">
      <c r="B23" s="199" t="s">
        <v>71</v>
      </c>
      <c r="C23" s="210">
        <v>-2432</v>
      </c>
      <c r="D23" s="210">
        <v>-543</v>
      </c>
      <c r="E23" s="210">
        <v>5849</v>
      </c>
      <c r="F23" s="210">
        <v>-6093</v>
      </c>
      <c r="G23" s="211">
        <f t="shared" si="0"/>
        <v>-3219</v>
      </c>
      <c r="H23" s="210">
        <v>4403</v>
      </c>
      <c r="I23" s="210">
        <v>-8888</v>
      </c>
      <c r="J23" s="210">
        <v>22989</v>
      </c>
      <c r="K23" s="210">
        <v>6804</v>
      </c>
      <c r="L23" s="211">
        <f t="shared" si="1"/>
        <v>25308</v>
      </c>
      <c r="M23" s="210">
        <v>-188</v>
      </c>
      <c r="N23" s="210">
        <v>3009</v>
      </c>
      <c r="O23" s="210">
        <v>9776</v>
      </c>
      <c r="P23" s="210">
        <v>12326</v>
      </c>
      <c r="Q23" s="211">
        <f t="shared" si="2"/>
        <v>24923</v>
      </c>
      <c r="R23" s="210">
        <v>-22684</v>
      </c>
      <c r="S23" s="210">
        <v>2013</v>
      </c>
      <c r="T23" s="210">
        <v>13824</v>
      </c>
      <c r="U23" s="210">
        <v>6731</v>
      </c>
      <c r="V23" s="211">
        <f t="shared" si="3"/>
        <v>-116</v>
      </c>
      <c r="W23" s="210">
        <v>-37276</v>
      </c>
      <c r="X23" s="210">
        <v>447</v>
      </c>
      <c r="Y23" s="210">
        <v>34358</v>
      </c>
      <c r="Z23" s="210">
        <v>11321</v>
      </c>
      <c r="AA23" s="211">
        <f t="shared" si="5"/>
        <v>8850</v>
      </c>
      <c r="AB23" s="210">
        <v>-34557</v>
      </c>
    </row>
    <row r="24" spans="2:28" s="9" customFormat="1" ht="15" customHeight="1">
      <c r="B24" s="199" t="s">
        <v>161</v>
      </c>
      <c r="C24" s="210">
        <v>-10889</v>
      </c>
      <c r="D24" s="210">
        <v>5851</v>
      </c>
      <c r="E24" s="210">
        <v>14390</v>
      </c>
      <c r="F24" s="210">
        <v>-7042</v>
      </c>
      <c r="G24" s="211">
        <f t="shared" si="0"/>
        <v>2310</v>
      </c>
      <c r="H24" s="210">
        <v>-1898</v>
      </c>
      <c r="I24" s="210">
        <v>-14518</v>
      </c>
      <c r="J24" s="210">
        <v>-33631</v>
      </c>
      <c r="K24" s="210">
        <v>55134</v>
      </c>
      <c r="L24" s="211">
        <f t="shared" si="1"/>
        <v>5087</v>
      </c>
      <c r="M24" s="210">
        <v>-863</v>
      </c>
      <c r="N24" s="210">
        <v>-6926</v>
      </c>
      <c r="O24" s="210">
        <v>-5634</v>
      </c>
      <c r="P24" s="210">
        <v>-12030</v>
      </c>
      <c r="Q24" s="211">
        <f t="shared" si="2"/>
        <v>-25453</v>
      </c>
      <c r="R24" s="210">
        <v>-1105</v>
      </c>
      <c r="S24" s="210">
        <v>-2478</v>
      </c>
      <c r="T24" s="210">
        <v>-5399</v>
      </c>
      <c r="U24" s="210">
        <v>-17233</v>
      </c>
      <c r="V24" s="211">
        <f t="shared" si="3"/>
        <v>-26215</v>
      </c>
      <c r="W24" s="210">
        <v>-1000</v>
      </c>
      <c r="X24" s="210">
        <v>368</v>
      </c>
      <c r="Y24" s="210">
        <v>1630</v>
      </c>
      <c r="Z24" s="210">
        <v>32971</v>
      </c>
      <c r="AA24" s="211">
        <f t="shared" si="5"/>
        <v>33969</v>
      </c>
      <c r="AB24" s="210">
        <v>2131</v>
      </c>
    </row>
    <row r="25" spans="2:28" s="9" customFormat="1" ht="15" customHeight="1">
      <c r="B25" s="212" t="s">
        <v>72</v>
      </c>
      <c r="C25" s="213">
        <v>-1277</v>
      </c>
      <c r="D25" s="213">
        <v>49</v>
      </c>
      <c r="E25" s="213">
        <v>1667</v>
      </c>
      <c r="F25" s="213">
        <v>-721</v>
      </c>
      <c r="G25" s="214">
        <f t="shared" si="0"/>
        <v>-282</v>
      </c>
      <c r="H25" s="213">
        <v>427</v>
      </c>
      <c r="I25" s="213">
        <v>-1942</v>
      </c>
      <c r="J25" s="213">
        <v>-40</v>
      </c>
      <c r="K25" s="213">
        <v>2017</v>
      </c>
      <c r="L25" s="214">
        <f t="shared" si="1"/>
        <v>462</v>
      </c>
      <c r="M25" s="213">
        <v>-1101</v>
      </c>
      <c r="N25" s="213">
        <v>968</v>
      </c>
      <c r="O25" s="213">
        <v>-102</v>
      </c>
      <c r="P25" s="213">
        <v>2058</v>
      </c>
      <c r="Q25" s="214">
        <f t="shared" si="2"/>
        <v>1823</v>
      </c>
      <c r="R25" s="213">
        <v>-657</v>
      </c>
      <c r="S25" s="213">
        <v>556</v>
      </c>
      <c r="T25" s="213">
        <v>5168</v>
      </c>
      <c r="U25" s="213">
        <v>-156</v>
      </c>
      <c r="V25" s="214">
        <f t="shared" si="3"/>
        <v>4911</v>
      </c>
      <c r="W25" s="213">
        <v>-419</v>
      </c>
      <c r="X25" s="213">
        <v>-82</v>
      </c>
      <c r="Y25" s="213">
        <v>3927</v>
      </c>
      <c r="Z25" s="213">
        <v>1258</v>
      </c>
      <c r="AA25" s="214">
        <f t="shared" si="5"/>
        <v>4684</v>
      </c>
      <c r="AB25" s="213">
        <v>-1120</v>
      </c>
    </row>
    <row r="26" spans="2:28" s="84" customFormat="1" ht="15" customHeight="1">
      <c r="B26" s="206" t="s">
        <v>156</v>
      </c>
      <c r="C26" s="215">
        <f t="shared" ref="C26:L26" si="6">SUM(C9:C25)</f>
        <v>-10822</v>
      </c>
      <c r="D26" s="215">
        <f t="shared" si="6"/>
        <v>-8029</v>
      </c>
      <c r="E26" s="215">
        <f t="shared" si="6"/>
        <v>14096</v>
      </c>
      <c r="F26" s="215">
        <f t="shared" si="6"/>
        <v>-9335</v>
      </c>
      <c r="G26" s="216">
        <f t="shared" si="6"/>
        <v>-14090</v>
      </c>
      <c r="H26" s="215">
        <f t="shared" si="6"/>
        <v>-2280</v>
      </c>
      <c r="I26" s="215">
        <f t="shared" si="6"/>
        <v>-27130</v>
      </c>
      <c r="J26" s="215">
        <f t="shared" si="6"/>
        <v>-10922</v>
      </c>
      <c r="K26" s="215">
        <f t="shared" si="6"/>
        <v>38354</v>
      </c>
      <c r="L26" s="216">
        <f t="shared" si="6"/>
        <v>-1978</v>
      </c>
      <c r="M26" s="215">
        <f t="shared" ref="M26" si="7">SUM(M9:M25)</f>
        <v>-15408</v>
      </c>
      <c r="N26" s="215">
        <f t="shared" ref="N26:R26" si="8">SUM(N9:N25)</f>
        <v>-28751</v>
      </c>
      <c r="O26" s="215">
        <f t="shared" si="8"/>
        <v>15804</v>
      </c>
      <c r="P26" s="215">
        <f t="shared" si="8"/>
        <v>-220</v>
      </c>
      <c r="Q26" s="216">
        <f t="shared" si="8"/>
        <v>-28575</v>
      </c>
      <c r="R26" s="215">
        <f t="shared" si="8"/>
        <v>-23612</v>
      </c>
      <c r="S26" s="215">
        <f t="shared" ref="S26:T26" si="9">SUM(S9:S25)</f>
        <v>6249</v>
      </c>
      <c r="T26" s="215">
        <f t="shared" si="9"/>
        <v>14690</v>
      </c>
      <c r="U26" s="215">
        <f t="shared" ref="U26:V26" si="10">SUM(U9:U25)</f>
        <v>-17887</v>
      </c>
      <c r="V26" s="216">
        <f t="shared" si="10"/>
        <v>-20560</v>
      </c>
      <c r="W26" s="215">
        <f t="shared" ref="W26:X26" si="11">SUM(W9:W25)</f>
        <v>-17241</v>
      </c>
      <c r="X26" s="215">
        <f t="shared" si="11"/>
        <v>10901</v>
      </c>
      <c r="Y26" s="215">
        <f t="shared" ref="Y26:AA26" si="12">SUM(Y9:Y25)</f>
        <v>25473</v>
      </c>
      <c r="Z26" s="215">
        <f t="shared" si="12"/>
        <v>58944</v>
      </c>
      <c r="AA26" s="216">
        <f t="shared" si="12"/>
        <v>78077</v>
      </c>
      <c r="AB26" s="215">
        <f t="shared" ref="AB26" si="13">SUM(AB9:AB25)</f>
        <v>-33369</v>
      </c>
    </row>
    <row r="27" spans="2:28" s="9" customFormat="1" ht="15" customHeight="1">
      <c r="B27" s="199"/>
      <c r="C27" s="217"/>
      <c r="D27" s="217"/>
      <c r="E27" s="217"/>
      <c r="F27" s="217"/>
      <c r="G27" s="185"/>
      <c r="H27" s="217"/>
      <c r="I27" s="217"/>
      <c r="J27" s="217"/>
      <c r="K27" s="217"/>
      <c r="L27" s="185"/>
      <c r="M27" s="217"/>
      <c r="N27" s="217"/>
      <c r="O27" s="217"/>
      <c r="P27" s="217"/>
      <c r="Q27" s="185"/>
      <c r="R27" s="217"/>
      <c r="S27" s="217"/>
      <c r="T27" s="217"/>
      <c r="U27" s="217"/>
      <c r="V27" s="185"/>
      <c r="W27" s="217"/>
      <c r="X27" s="217"/>
      <c r="Y27" s="217"/>
      <c r="Z27" s="217"/>
      <c r="AA27" s="185"/>
      <c r="AB27" s="217"/>
    </row>
    <row r="28" spans="2:28" s="9" customFormat="1" ht="15" customHeight="1">
      <c r="B28" s="206" t="s">
        <v>65</v>
      </c>
      <c r="C28" s="218"/>
      <c r="D28" s="218"/>
      <c r="E28" s="218"/>
      <c r="F28" s="218"/>
      <c r="G28" s="113"/>
      <c r="H28" s="218"/>
      <c r="I28" s="218"/>
      <c r="J28" s="218"/>
      <c r="K28" s="218"/>
      <c r="L28" s="185"/>
      <c r="M28" s="218"/>
      <c r="N28" s="218"/>
      <c r="O28" s="218"/>
      <c r="P28" s="218"/>
      <c r="Q28" s="185"/>
      <c r="R28" s="218"/>
      <c r="S28" s="218"/>
      <c r="T28" s="218"/>
      <c r="U28" s="218"/>
      <c r="V28" s="185"/>
      <c r="W28" s="218"/>
      <c r="X28" s="218"/>
      <c r="Y28" s="218"/>
      <c r="Z28" s="218"/>
      <c r="AA28" s="185"/>
      <c r="AB28" s="218"/>
    </row>
    <row r="29" spans="2:28" s="9" customFormat="1" ht="15" customHeight="1">
      <c r="B29" s="199" t="s">
        <v>86</v>
      </c>
      <c r="C29" s="210">
        <v>0</v>
      </c>
      <c r="D29" s="210">
        <v>4000</v>
      </c>
      <c r="E29" s="210">
        <v>0</v>
      </c>
      <c r="F29" s="210">
        <v>0</v>
      </c>
      <c r="G29" s="211">
        <f>SUM(C29:F29)</f>
        <v>4000</v>
      </c>
      <c r="H29" s="210">
        <v>0</v>
      </c>
      <c r="I29" s="210">
        <v>0</v>
      </c>
      <c r="J29" s="210">
        <v>0</v>
      </c>
      <c r="K29" s="210">
        <v>0</v>
      </c>
      <c r="L29" s="211">
        <f>SUM(H29:K29)</f>
        <v>0</v>
      </c>
      <c r="M29" s="210">
        <v>0</v>
      </c>
      <c r="N29" s="210">
        <v>0</v>
      </c>
      <c r="O29" s="210">
        <v>0</v>
      </c>
      <c r="P29" s="210">
        <v>0</v>
      </c>
      <c r="Q29" s="211">
        <f>SUM(M29:P29)</f>
        <v>0</v>
      </c>
      <c r="R29" s="210">
        <v>0</v>
      </c>
      <c r="S29" s="210">
        <v>0</v>
      </c>
      <c r="T29" s="210">
        <v>0</v>
      </c>
      <c r="U29" s="210">
        <v>0</v>
      </c>
      <c r="V29" s="211">
        <f>SUM(R29:U29)</f>
        <v>0</v>
      </c>
      <c r="W29" s="210">
        <v>0</v>
      </c>
      <c r="X29" s="210">
        <v>0</v>
      </c>
      <c r="Y29" s="210">
        <v>0</v>
      </c>
      <c r="Z29" s="210">
        <v>0</v>
      </c>
      <c r="AA29" s="211">
        <f>SUM(W29:Z29)</f>
        <v>0</v>
      </c>
      <c r="AB29" s="210">
        <v>0</v>
      </c>
    </row>
    <row r="30" spans="2:28" s="9" customFormat="1" ht="15" customHeight="1">
      <c r="B30" s="199" t="s">
        <v>167</v>
      </c>
      <c r="C30" s="210">
        <v>-575</v>
      </c>
      <c r="D30" s="210">
        <v>-638</v>
      </c>
      <c r="E30" s="210">
        <v>-507</v>
      </c>
      <c r="F30" s="210">
        <v>-1546</v>
      </c>
      <c r="G30" s="211">
        <f t="shared" ref="G30:G36" si="14">SUM(C30:F30)</f>
        <v>-3266</v>
      </c>
      <c r="H30" s="210">
        <v>-899</v>
      </c>
      <c r="I30" s="210">
        <v>-423</v>
      </c>
      <c r="J30" s="210">
        <v>0</v>
      </c>
      <c r="K30" s="210">
        <v>0</v>
      </c>
      <c r="L30" s="211">
        <f t="shared" ref="L30:L36" si="15">SUM(H30:K30)</f>
        <v>-1322</v>
      </c>
      <c r="M30" s="210">
        <v>0</v>
      </c>
      <c r="N30" s="210">
        <v>0</v>
      </c>
      <c r="O30" s="210">
        <v>0</v>
      </c>
      <c r="P30" s="210">
        <v>0</v>
      </c>
      <c r="Q30" s="211">
        <f t="shared" ref="Q30:Q36" si="16">SUM(M30:P30)</f>
        <v>0</v>
      </c>
      <c r="R30" s="210">
        <v>0</v>
      </c>
      <c r="S30" s="210">
        <v>0</v>
      </c>
      <c r="T30" s="210">
        <v>0</v>
      </c>
      <c r="U30" s="210">
        <v>0</v>
      </c>
      <c r="V30" s="211">
        <f t="shared" ref="V30:V36" si="17">SUM(R30:U30)</f>
        <v>0</v>
      </c>
      <c r="W30" s="210">
        <v>0</v>
      </c>
      <c r="X30" s="210">
        <v>0</v>
      </c>
      <c r="Y30" s="210">
        <v>0</v>
      </c>
      <c r="Z30" s="210">
        <v>0</v>
      </c>
      <c r="AA30" s="211">
        <f t="shared" ref="AA30:AA36" si="18">SUM(W30:Z30)</f>
        <v>0</v>
      </c>
      <c r="AB30" s="210">
        <v>0</v>
      </c>
    </row>
    <row r="31" spans="2:28" s="9" customFormat="1" ht="15" customHeight="1">
      <c r="B31" s="199" t="s">
        <v>85</v>
      </c>
      <c r="C31" s="210">
        <v>-2357</v>
      </c>
      <c r="D31" s="210">
        <v>-330</v>
      </c>
      <c r="E31" s="210">
        <v>-2562</v>
      </c>
      <c r="F31" s="210">
        <v>-4126</v>
      </c>
      <c r="G31" s="211">
        <f t="shared" si="14"/>
        <v>-9375</v>
      </c>
      <c r="H31" s="210">
        <v>-712</v>
      </c>
      <c r="I31" s="210">
        <v>-1323</v>
      </c>
      <c r="J31" s="210">
        <v>-1938</v>
      </c>
      <c r="K31" s="210">
        <v>-3347</v>
      </c>
      <c r="L31" s="211">
        <f t="shared" si="15"/>
        <v>-7320</v>
      </c>
      <c r="M31" s="210">
        <v>-4888</v>
      </c>
      <c r="N31" s="210">
        <v>-2641</v>
      </c>
      <c r="O31" s="210">
        <v>-2773</v>
      </c>
      <c r="P31" s="210">
        <v>-1409</v>
      </c>
      <c r="Q31" s="211">
        <f t="shared" si="16"/>
        <v>-11711</v>
      </c>
      <c r="R31" s="210">
        <v>-832</v>
      </c>
      <c r="S31" s="210">
        <v>-296</v>
      </c>
      <c r="T31" s="210">
        <v>-678</v>
      </c>
      <c r="U31" s="210">
        <v>-376</v>
      </c>
      <c r="V31" s="211">
        <f t="shared" si="17"/>
        <v>-2182</v>
      </c>
      <c r="W31" s="210">
        <v>-427</v>
      </c>
      <c r="X31" s="210">
        <v>-876</v>
      </c>
      <c r="Y31" s="210">
        <v>-1316</v>
      </c>
      <c r="Z31" s="210">
        <v>-1880</v>
      </c>
      <c r="AA31" s="211">
        <f t="shared" si="18"/>
        <v>-4499</v>
      </c>
      <c r="AB31" s="210">
        <v>-1741</v>
      </c>
    </row>
    <row r="32" spans="2:28" s="9" customFormat="1" ht="15" customHeight="1">
      <c r="B32" s="199" t="s">
        <v>183</v>
      </c>
      <c r="C32" s="210">
        <v>0</v>
      </c>
      <c r="D32" s="210">
        <v>0</v>
      </c>
      <c r="E32" s="210">
        <v>0</v>
      </c>
      <c r="F32" s="210">
        <v>0</v>
      </c>
      <c r="G32" s="211">
        <f t="shared" si="14"/>
        <v>0</v>
      </c>
      <c r="H32" s="210">
        <v>0</v>
      </c>
      <c r="I32" s="210">
        <v>0</v>
      </c>
      <c r="J32" s="210">
        <v>0</v>
      </c>
      <c r="K32" s="210">
        <v>0</v>
      </c>
      <c r="L32" s="211">
        <f t="shared" si="15"/>
        <v>0</v>
      </c>
      <c r="M32" s="210">
        <v>0</v>
      </c>
      <c r="N32" s="210">
        <v>517</v>
      </c>
      <c r="O32" s="210">
        <v>0</v>
      </c>
      <c r="P32" s="210">
        <v>356</v>
      </c>
      <c r="Q32" s="211">
        <f t="shared" si="16"/>
        <v>873</v>
      </c>
      <c r="R32" s="210">
        <v>0</v>
      </c>
      <c r="S32" s="210">
        <v>0</v>
      </c>
      <c r="T32" s="210">
        <v>0</v>
      </c>
      <c r="U32" s="210">
        <v>0</v>
      </c>
      <c r="V32" s="211">
        <f t="shared" si="17"/>
        <v>0</v>
      </c>
      <c r="W32" s="210">
        <v>0</v>
      </c>
      <c r="X32" s="210">
        <v>0</v>
      </c>
      <c r="Y32" s="210">
        <v>0</v>
      </c>
      <c r="Z32" s="210">
        <v>0</v>
      </c>
      <c r="AA32" s="211">
        <f t="shared" si="18"/>
        <v>0</v>
      </c>
      <c r="AB32" s="210">
        <v>0</v>
      </c>
    </row>
    <row r="33" spans="2:28" s="9" customFormat="1" ht="15" customHeight="1">
      <c r="B33" s="199" t="s">
        <v>200</v>
      </c>
      <c r="C33" s="210">
        <v>0</v>
      </c>
      <c r="D33" s="210">
        <v>0</v>
      </c>
      <c r="E33" s="210">
        <v>-1000</v>
      </c>
      <c r="F33" s="210">
        <v>0</v>
      </c>
      <c r="G33" s="211">
        <f t="shared" si="14"/>
        <v>-1000</v>
      </c>
      <c r="H33" s="210">
        <v>-2500</v>
      </c>
      <c r="I33" s="210">
        <v>0</v>
      </c>
      <c r="J33" s="210">
        <v>0</v>
      </c>
      <c r="K33" s="210">
        <v>0</v>
      </c>
      <c r="L33" s="211">
        <f t="shared" si="15"/>
        <v>-2500</v>
      </c>
      <c r="M33" s="210">
        <v>0</v>
      </c>
      <c r="N33" s="210">
        <v>0</v>
      </c>
      <c r="O33" s="210">
        <v>0</v>
      </c>
      <c r="P33" s="210">
        <v>0</v>
      </c>
      <c r="Q33" s="211">
        <f t="shared" si="16"/>
        <v>0</v>
      </c>
      <c r="R33" s="210">
        <v>-667</v>
      </c>
      <c r="S33" s="210">
        <v>-1206</v>
      </c>
      <c r="T33" s="210">
        <v>-327</v>
      </c>
      <c r="U33" s="210">
        <v>-4500</v>
      </c>
      <c r="V33" s="211">
        <f t="shared" si="17"/>
        <v>-6700</v>
      </c>
      <c r="W33" s="210">
        <v>0</v>
      </c>
      <c r="X33" s="210">
        <v>0</v>
      </c>
      <c r="Y33" s="210">
        <v>0</v>
      </c>
      <c r="Z33" s="210">
        <v>0</v>
      </c>
      <c r="AA33" s="211">
        <f t="shared" si="18"/>
        <v>0</v>
      </c>
      <c r="AB33" s="210">
        <v>0</v>
      </c>
    </row>
    <row r="34" spans="2:28" s="9" customFormat="1" ht="15" customHeight="1">
      <c r="B34" s="199" t="s">
        <v>201</v>
      </c>
      <c r="C34" s="210">
        <v>0</v>
      </c>
      <c r="D34" s="210">
        <v>0</v>
      </c>
      <c r="E34" s="210">
        <v>0</v>
      </c>
      <c r="F34" s="210">
        <v>0</v>
      </c>
      <c r="G34" s="211">
        <f t="shared" si="14"/>
        <v>0</v>
      </c>
      <c r="H34" s="210">
        <v>0</v>
      </c>
      <c r="I34" s="210">
        <v>0</v>
      </c>
      <c r="J34" s="210">
        <v>0</v>
      </c>
      <c r="K34" s="210">
        <v>0</v>
      </c>
      <c r="L34" s="211">
        <f t="shared" si="15"/>
        <v>0</v>
      </c>
      <c r="M34" s="210">
        <v>0</v>
      </c>
      <c r="N34" s="210">
        <v>0</v>
      </c>
      <c r="O34" s="210">
        <v>0</v>
      </c>
      <c r="P34" s="210">
        <v>0</v>
      </c>
      <c r="Q34" s="211">
        <f t="shared" si="16"/>
        <v>0</v>
      </c>
      <c r="R34" s="210">
        <v>0</v>
      </c>
      <c r="S34" s="210">
        <v>0</v>
      </c>
      <c r="T34" s="210">
        <v>-3000</v>
      </c>
      <c r="U34" s="210">
        <v>0</v>
      </c>
      <c r="V34" s="211">
        <f t="shared" si="17"/>
        <v>-3000</v>
      </c>
      <c r="W34" s="210">
        <v>0</v>
      </c>
      <c r="X34" s="210">
        <v>0</v>
      </c>
      <c r="Y34" s="210">
        <v>0</v>
      </c>
      <c r="Z34" s="210">
        <v>0</v>
      </c>
      <c r="AA34" s="211">
        <f t="shared" si="18"/>
        <v>0</v>
      </c>
      <c r="AB34" s="210">
        <v>0</v>
      </c>
    </row>
    <row r="35" spans="2:28" s="9" customFormat="1" ht="15" customHeight="1">
      <c r="B35" s="199" t="s">
        <v>209</v>
      </c>
      <c r="C35" s="210">
        <v>0</v>
      </c>
      <c r="D35" s="210">
        <v>0</v>
      </c>
      <c r="E35" s="210">
        <v>0</v>
      </c>
      <c r="F35" s="210">
        <v>0</v>
      </c>
      <c r="G35" s="211">
        <f t="shared" si="14"/>
        <v>0</v>
      </c>
      <c r="H35" s="210">
        <v>0</v>
      </c>
      <c r="I35" s="210">
        <v>0</v>
      </c>
      <c r="J35" s="210">
        <v>0</v>
      </c>
      <c r="K35" s="210">
        <v>0</v>
      </c>
      <c r="L35" s="211">
        <f t="shared" si="15"/>
        <v>0</v>
      </c>
      <c r="M35" s="210">
        <v>0</v>
      </c>
      <c r="N35" s="210">
        <v>0</v>
      </c>
      <c r="O35" s="210">
        <v>0</v>
      </c>
      <c r="P35" s="210">
        <v>0</v>
      </c>
      <c r="Q35" s="211">
        <f t="shared" si="16"/>
        <v>0</v>
      </c>
      <c r="R35" s="210">
        <v>0</v>
      </c>
      <c r="S35" s="210">
        <v>0</v>
      </c>
      <c r="T35" s="210">
        <v>0</v>
      </c>
      <c r="U35" s="210">
        <v>0</v>
      </c>
      <c r="V35" s="211">
        <f t="shared" si="17"/>
        <v>0</v>
      </c>
      <c r="W35" s="210">
        <v>31000</v>
      </c>
      <c r="X35" s="210">
        <v>0</v>
      </c>
      <c r="Y35" s="210">
        <v>184</v>
      </c>
      <c r="Z35" s="210">
        <v>0</v>
      </c>
      <c r="AA35" s="211">
        <f t="shared" si="18"/>
        <v>31184</v>
      </c>
      <c r="AB35" s="210">
        <v>0</v>
      </c>
    </row>
    <row r="36" spans="2:28" s="84" customFormat="1" ht="15" customHeight="1">
      <c r="B36" s="212" t="s">
        <v>168</v>
      </c>
      <c r="C36" s="213">
        <v>0</v>
      </c>
      <c r="D36" s="213">
        <v>0</v>
      </c>
      <c r="E36" s="213">
        <v>0</v>
      </c>
      <c r="F36" s="213">
        <v>-4478</v>
      </c>
      <c r="G36" s="214">
        <f t="shared" si="14"/>
        <v>-4478</v>
      </c>
      <c r="H36" s="213">
        <v>0</v>
      </c>
      <c r="I36" s="213">
        <v>0</v>
      </c>
      <c r="J36" s="213">
        <v>0</v>
      </c>
      <c r="K36" s="213">
        <v>0</v>
      </c>
      <c r="L36" s="214">
        <f t="shared" si="15"/>
        <v>0</v>
      </c>
      <c r="M36" s="213">
        <v>-4479</v>
      </c>
      <c r="N36" s="213">
        <v>-100886</v>
      </c>
      <c r="O36" s="213">
        <v>0</v>
      </c>
      <c r="P36" s="213">
        <v>0</v>
      </c>
      <c r="Q36" s="214">
        <f t="shared" si="16"/>
        <v>-105365</v>
      </c>
      <c r="R36" s="213">
        <v>0</v>
      </c>
      <c r="S36" s="213">
        <v>-2933</v>
      </c>
      <c r="T36" s="213">
        <v>-14815</v>
      </c>
      <c r="U36" s="213">
        <v>-58264</v>
      </c>
      <c r="V36" s="214">
        <f t="shared" si="17"/>
        <v>-76012</v>
      </c>
      <c r="W36" s="213">
        <v>-8368</v>
      </c>
      <c r="X36" s="213">
        <v>0</v>
      </c>
      <c r="Y36" s="213">
        <v>-2008</v>
      </c>
      <c r="Z36" s="213">
        <v>-8731</v>
      </c>
      <c r="AA36" s="214">
        <f t="shared" si="18"/>
        <v>-19107</v>
      </c>
      <c r="AB36" s="213">
        <v>0</v>
      </c>
    </row>
    <row r="37" spans="2:28" s="84" customFormat="1" ht="15" customHeight="1">
      <c r="B37" s="219" t="s">
        <v>157</v>
      </c>
      <c r="C37" s="215">
        <f>SUM(C29:C36)</f>
        <v>-2932</v>
      </c>
      <c r="D37" s="215">
        <f t="shared" ref="D37:F37" si="19">SUM(D29:D36)</f>
        <v>3032</v>
      </c>
      <c r="E37" s="215">
        <f t="shared" si="19"/>
        <v>-4069</v>
      </c>
      <c r="F37" s="215">
        <f t="shared" si="19"/>
        <v>-10150</v>
      </c>
      <c r="G37" s="216">
        <f>SUM(G29:G36)</f>
        <v>-14119</v>
      </c>
      <c r="H37" s="215">
        <f>SUM(H29:H36)</f>
        <v>-4111</v>
      </c>
      <c r="I37" s="215">
        <f t="shared" ref="I37" si="20">SUM(I29:I36)</f>
        <v>-1746</v>
      </c>
      <c r="J37" s="215">
        <f t="shared" ref="J37" si="21">SUM(J29:J36)</f>
        <v>-1938</v>
      </c>
      <c r="K37" s="215">
        <f t="shared" ref="K37" si="22">SUM(K29:K36)</f>
        <v>-3347</v>
      </c>
      <c r="L37" s="216">
        <f>SUM(L29:L36)</f>
        <v>-11142</v>
      </c>
      <c r="M37" s="215">
        <f>SUM(M29:M36)</f>
        <v>-9367</v>
      </c>
      <c r="N37" s="215">
        <f t="shared" ref="N37:P37" si="23">SUM(N29:N36)</f>
        <v>-103010</v>
      </c>
      <c r="O37" s="215">
        <f t="shared" si="23"/>
        <v>-2773</v>
      </c>
      <c r="P37" s="215">
        <f t="shared" si="23"/>
        <v>-1053</v>
      </c>
      <c r="Q37" s="216">
        <f>SUM(Q29:Q36)</f>
        <v>-116203</v>
      </c>
      <c r="R37" s="215">
        <f>SUM(R29:R36)</f>
        <v>-1499</v>
      </c>
      <c r="S37" s="215">
        <f t="shared" ref="S37:T37" si="24">SUM(S29:S36)</f>
        <v>-4435</v>
      </c>
      <c r="T37" s="215">
        <f t="shared" si="24"/>
        <v>-18820</v>
      </c>
      <c r="U37" s="215">
        <f t="shared" ref="U37:W37" si="25">SUM(U29:U36)</f>
        <v>-63140</v>
      </c>
      <c r="V37" s="216">
        <f>SUM(V29:V36)</f>
        <v>-87894</v>
      </c>
      <c r="W37" s="215">
        <f t="shared" si="25"/>
        <v>22205</v>
      </c>
      <c r="X37" s="215">
        <f t="shared" ref="X37:Z37" si="26">SUM(X29:X36)</f>
        <v>-876</v>
      </c>
      <c r="Y37" s="215">
        <f t="shared" si="26"/>
        <v>-3140</v>
      </c>
      <c r="Z37" s="215">
        <f t="shared" si="26"/>
        <v>-10611</v>
      </c>
      <c r="AA37" s="216">
        <f>SUM(AA29:AA36)</f>
        <v>7578</v>
      </c>
      <c r="AB37" s="215">
        <f t="shared" ref="AB37" si="27">SUM(AB29:AB36)</f>
        <v>-1741</v>
      </c>
    </row>
    <row r="38" spans="2:28" s="84" customFormat="1" ht="15" customHeight="1">
      <c r="B38" s="206"/>
      <c r="C38" s="220"/>
      <c r="D38" s="220"/>
      <c r="E38" s="220"/>
      <c r="F38" s="220"/>
      <c r="G38" s="221"/>
      <c r="H38" s="220"/>
      <c r="I38" s="220"/>
      <c r="J38" s="220"/>
      <c r="K38" s="220"/>
      <c r="L38" s="221"/>
      <c r="M38" s="220"/>
      <c r="N38" s="220"/>
      <c r="O38" s="220"/>
      <c r="P38" s="220"/>
      <c r="Q38" s="221"/>
      <c r="R38" s="220"/>
      <c r="S38" s="220"/>
      <c r="T38" s="220"/>
      <c r="U38" s="220"/>
      <c r="V38" s="221"/>
      <c r="W38" s="220"/>
      <c r="X38" s="220"/>
      <c r="Y38" s="220"/>
      <c r="Z38" s="220"/>
      <c r="AA38" s="221"/>
      <c r="AB38" s="220"/>
    </row>
    <row r="39" spans="2:28" s="9" customFormat="1" ht="15" customHeight="1">
      <c r="B39" s="206" t="s">
        <v>59</v>
      </c>
      <c r="C39" s="218"/>
      <c r="D39" s="218"/>
      <c r="E39" s="218"/>
      <c r="F39" s="218"/>
      <c r="G39" s="113"/>
      <c r="H39" s="218"/>
      <c r="I39" s="218"/>
      <c r="J39" s="218"/>
      <c r="K39" s="218"/>
      <c r="L39" s="185"/>
      <c r="M39" s="218"/>
      <c r="N39" s="218"/>
      <c r="O39" s="218"/>
      <c r="P39" s="218"/>
      <c r="Q39" s="185"/>
      <c r="R39" s="218"/>
      <c r="S39" s="218"/>
      <c r="T39" s="218"/>
      <c r="U39" s="218"/>
      <c r="V39" s="185"/>
      <c r="W39" s="218"/>
      <c r="X39" s="218"/>
      <c r="Y39" s="218"/>
      <c r="Z39" s="218"/>
      <c r="AA39" s="185"/>
      <c r="AB39" s="218"/>
    </row>
    <row r="40" spans="2:28" s="9" customFormat="1" ht="15" customHeight="1">
      <c r="B40" s="199" t="s">
        <v>73</v>
      </c>
      <c r="C40" s="210">
        <v>230000</v>
      </c>
      <c r="D40" s="210">
        <v>0</v>
      </c>
      <c r="E40" s="210">
        <v>0</v>
      </c>
      <c r="F40" s="210">
        <v>0</v>
      </c>
      <c r="G40" s="211">
        <f t="shared" ref="G40:G45" si="28">SUM(C40:F40)</f>
        <v>230000</v>
      </c>
      <c r="H40" s="210">
        <v>0</v>
      </c>
      <c r="I40" s="210">
        <v>0</v>
      </c>
      <c r="J40" s="210">
        <v>0</v>
      </c>
      <c r="K40" s="210">
        <v>0</v>
      </c>
      <c r="L40" s="211">
        <f t="shared" ref="L40:L45" si="29">SUM(H40:K40)</f>
        <v>0</v>
      </c>
      <c r="M40" s="210">
        <v>0</v>
      </c>
      <c r="N40" s="210">
        <v>0</v>
      </c>
      <c r="O40" s="210">
        <v>0</v>
      </c>
      <c r="P40" s="210">
        <v>0</v>
      </c>
      <c r="Q40" s="211">
        <f t="shared" ref="Q40:Q45" si="30">SUM(M40:P40)</f>
        <v>0</v>
      </c>
      <c r="R40" s="210">
        <v>0</v>
      </c>
      <c r="S40" s="210">
        <v>0</v>
      </c>
      <c r="T40" s="210">
        <v>0</v>
      </c>
      <c r="U40" s="210">
        <v>0</v>
      </c>
      <c r="V40" s="211">
        <f t="shared" ref="V40:V45" si="31">SUM(R40:U40)</f>
        <v>0</v>
      </c>
      <c r="W40" s="210">
        <v>0</v>
      </c>
      <c r="X40" s="210">
        <v>0</v>
      </c>
      <c r="Y40" s="210">
        <v>0</v>
      </c>
      <c r="Z40" s="210">
        <v>0</v>
      </c>
      <c r="AA40" s="211">
        <f t="shared" ref="AA40:AA43" si="32">SUM(W40:Z40)</f>
        <v>0</v>
      </c>
      <c r="AB40" s="210">
        <v>0</v>
      </c>
    </row>
    <row r="41" spans="2:28" s="9" customFormat="1" ht="15" customHeight="1">
      <c r="B41" s="199" t="s">
        <v>74</v>
      </c>
      <c r="C41" s="210">
        <v>-225572</v>
      </c>
      <c r="D41" s="210">
        <v>-578</v>
      </c>
      <c r="E41" s="210">
        <v>-582</v>
      </c>
      <c r="F41" s="210">
        <v>-588</v>
      </c>
      <c r="G41" s="211">
        <f t="shared" si="28"/>
        <v>-227320</v>
      </c>
      <c r="H41" s="222">
        <v>-592</v>
      </c>
      <c r="I41" s="210">
        <v>-2701</v>
      </c>
      <c r="J41" s="210">
        <v>-230000</v>
      </c>
      <c r="K41" s="210">
        <v>0</v>
      </c>
      <c r="L41" s="211">
        <f t="shared" si="29"/>
        <v>-233293</v>
      </c>
      <c r="M41" s="222">
        <v>0</v>
      </c>
      <c r="N41" s="210">
        <v>0</v>
      </c>
      <c r="O41" s="210">
        <v>0</v>
      </c>
      <c r="P41" s="210">
        <v>0</v>
      </c>
      <c r="Q41" s="211">
        <f t="shared" si="30"/>
        <v>0</v>
      </c>
      <c r="R41" s="222">
        <v>0</v>
      </c>
      <c r="S41" s="210">
        <v>0</v>
      </c>
      <c r="T41" s="210">
        <v>0</v>
      </c>
      <c r="U41" s="210">
        <v>0</v>
      </c>
      <c r="V41" s="211">
        <f t="shared" si="31"/>
        <v>0</v>
      </c>
      <c r="W41" s="210">
        <v>0</v>
      </c>
      <c r="X41" s="210">
        <v>0</v>
      </c>
      <c r="Y41" s="210">
        <v>0</v>
      </c>
      <c r="Z41" s="210">
        <v>0</v>
      </c>
      <c r="AA41" s="211">
        <f t="shared" si="32"/>
        <v>0</v>
      </c>
      <c r="AB41" s="210">
        <v>0</v>
      </c>
    </row>
    <row r="42" spans="2:28" s="9" customFormat="1" ht="15" customHeight="1">
      <c r="B42" s="223" t="s">
        <v>169</v>
      </c>
      <c r="C42" s="210">
        <v>-4001</v>
      </c>
      <c r="D42" s="210">
        <v>0</v>
      </c>
      <c r="E42" s="210">
        <v>0</v>
      </c>
      <c r="F42" s="210">
        <v>0</v>
      </c>
      <c r="G42" s="211">
        <f t="shared" si="28"/>
        <v>-4001</v>
      </c>
      <c r="H42" s="210">
        <v>-300</v>
      </c>
      <c r="I42" s="210">
        <v>0</v>
      </c>
      <c r="J42" s="210">
        <v>0</v>
      </c>
      <c r="K42" s="210">
        <v>0</v>
      </c>
      <c r="L42" s="211">
        <f t="shared" si="29"/>
        <v>-300</v>
      </c>
      <c r="M42" s="210">
        <v>0</v>
      </c>
      <c r="N42" s="210">
        <v>0</v>
      </c>
      <c r="O42" s="210">
        <v>0</v>
      </c>
      <c r="P42" s="210">
        <v>0</v>
      </c>
      <c r="Q42" s="211">
        <f t="shared" si="30"/>
        <v>0</v>
      </c>
      <c r="R42" s="210">
        <v>0</v>
      </c>
      <c r="S42" s="210">
        <v>0</v>
      </c>
      <c r="T42" s="210">
        <v>0</v>
      </c>
      <c r="U42" s="210">
        <v>0</v>
      </c>
      <c r="V42" s="211">
        <f t="shared" si="31"/>
        <v>0</v>
      </c>
      <c r="W42" s="210">
        <v>0</v>
      </c>
      <c r="X42" s="210">
        <v>0</v>
      </c>
      <c r="Y42" s="210">
        <v>0</v>
      </c>
      <c r="Z42" s="210">
        <v>0</v>
      </c>
      <c r="AA42" s="211">
        <f t="shared" si="32"/>
        <v>0</v>
      </c>
      <c r="AB42" s="210">
        <v>0</v>
      </c>
    </row>
    <row r="43" spans="2:28" s="9" customFormat="1" ht="30.75" customHeight="1">
      <c r="B43" s="224" t="s">
        <v>170</v>
      </c>
      <c r="C43" s="210">
        <v>4764</v>
      </c>
      <c r="D43" s="210">
        <v>6900</v>
      </c>
      <c r="E43" s="210">
        <v>3645</v>
      </c>
      <c r="F43" s="210">
        <v>4418</v>
      </c>
      <c r="G43" s="211">
        <f t="shared" si="28"/>
        <v>19727</v>
      </c>
      <c r="H43" s="210">
        <v>4116</v>
      </c>
      <c r="I43" s="210">
        <v>4005</v>
      </c>
      <c r="J43" s="210">
        <v>9234</v>
      </c>
      <c r="K43" s="210">
        <v>3064</v>
      </c>
      <c r="L43" s="211">
        <f t="shared" si="29"/>
        <v>20419</v>
      </c>
      <c r="M43" s="210">
        <v>1060</v>
      </c>
      <c r="N43" s="210">
        <v>1032</v>
      </c>
      <c r="O43" s="210">
        <v>1313</v>
      </c>
      <c r="P43" s="210">
        <v>1331</v>
      </c>
      <c r="Q43" s="211">
        <f t="shared" si="30"/>
        <v>4736</v>
      </c>
      <c r="R43" s="210">
        <v>1137</v>
      </c>
      <c r="S43" s="210">
        <v>2424</v>
      </c>
      <c r="T43" s="210">
        <v>5115</v>
      </c>
      <c r="U43" s="210">
        <v>61</v>
      </c>
      <c r="V43" s="211">
        <f t="shared" si="31"/>
        <v>8737</v>
      </c>
      <c r="W43" s="210">
        <v>3281</v>
      </c>
      <c r="X43" s="210">
        <v>997</v>
      </c>
      <c r="Y43" s="210">
        <v>1905</v>
      </c>
      <c r="Z43" s="210">
        <v>83</v>
      </c>
      <c r="AA43" s="211">
        <f t="shared" si="32"/>
        <v>6266</v>
      </c>
      <c r="AB43" s="210">
        <v>4589</v>
      </c>
    </row>
    <row r="44" spans="2:28" s="225" customFormat="1" ht="30" customHeight="1">
      <c r="B44" s="290" t="s">
        <v>171</v>
      </c>
      <c r="C44" s="210">
        <v>-7303</v>
      </c>
      <c r="D44" s="210">
        <v>-666</v>
      </c>
      <c r="E44" s="210">
        <v>-2233</v>
      </c>
      <c r="F44" s="210">
        <v>-860</v>
      </c>
      <c r="G44" s="291">
        <f>SUM(C44:F44)</f>
        <v>-11062</v>
      </c>
      <c r="H44" s="210">
        <v>-10044</v>
      </c>
      <c r="I44" s="210">
        <v>-4580</v>
      </c>
      <c r="J44" s="210">
        <v>-22282</v>
      </c>
      <c r="K44" s="210">
        <v>-13614</v>
      </c>
      <c r="L44" s="291">
        <f>SUM(H44:K44)</f>
        <v>-50520</v>
      </c>
      <c r="M44" s="210">
        <v>-12093</v>
      </c>
      <c r="N44" s="210">
        <v>-1814</v>
      </c>
      <c r="O44" s="210">
        <v>-4150</v>
      </c>
      <c r="P44" s="210">
        <v>-6465</v>
      </c>
      <c r="Q44" s="291">
        <f>SUM(M44:P44)</f>
        <v>-24522</v>
      </c>
      <c r="R44" s="210">
        <v>-1827</v>
      </c>
      <c r="S44" s="210">
        <v>-3928</v>
      </c>
      <c r="T44" s="210">
        <v>-3627</v>
      </c>
      <c r="U44" s="210">
        <v>-538</v>
      </c>
      <c r="V44" s="291">
        <f>SUM(R44:U44)</f>
        <v>-9920</v>
      </c>
      <c r="W44" s="210">
        <v>-11361</v>
      </c>
      <c r="X44" s="210">
        <v>-1181</v>
      </c>
      <c r="Y44" s="210">
        <v>-1674</v>
      </c>
      <c r="Z44" s="210">
        <v>-410</v>
      </c>
      <c r="AA44" s="291">
        <f>SUM(W44:Z44)</f>
        <v>-14626</v>
      </c>
      <c r="AB44" s="210">
        <v>-582</v>
      </c>
    </row>
    <row r="45" spans="2:28" s="9" customFormat="1" ht="15" customHeight="1">
      <c r="B45" s="244" t="s">
        <v>162</v>
      </c>
      <c r="C45" s="213">
        <v>0</v>
      </c>
      <c r="D45" s="213">
        <v>-19776</v>
      </c>
      <c r="E45" s="213">
        <v>-19665</v>
      </c>
      <c r="F45" s="213">
        <v>-49443</v>
      </c>
      <c r="G45" s="214">
        <f t="shared" si="28"/>
        <v>-88884</v>
      </c>
      <c r="H45" s="213">
        <v>-45766</v>
      </c>
      <c r="I45" s="213">
        <v>0</v>
      </c>
      <c r="J45" s="213">
        <v>-521734</v>
      </c>
      <c r="K45" s="213">
        <v>-10314</v>
      </c>
      <c r="L45" s="214">
        <f t="shared" si="29"/>
        <v>-577814</v>
      </c>
      <c r="M45" s="213">
        <v>-20099</v>
      </c>
      <c r="N45" s="213">
        <v>-80374</v>
      </c>
      <c r="O45" s="213">
        <v>-20715</v>
      </c>
      <c r="P45" s="213">
        <v>-61002</v>
      </c>
      <c r="Q45" s="214">
        <f t="shared" si="30"/>
        <v>-182190</v>
      </c>
      <c r="R45" s="213">
        <v>-42312</v>
      </c>
      <c r="S45" s="213">
        <v>0</v>
      </c>
      <c r="T45" s="213">
        <v>0</v>
      </c>
      <c r="U45" s="213">
        <v>0</v>
      </c>
      <c r="V45" s="214">
        <f t="shared" si="31"/>
        <v>-42312</v>
      </c>
      <c r="W45" s="213">
        <v>-29077</v>
      </c>
      <c r="X45" s="213">
        <v>-15000</v>
      </c>
      <c r="Y45" s="213">
        <v>-5147</v>
      </c>
      <c r="Z45" s="213">
        <v>-9397</v>
      </c>
      <c r="AA45" s="214">
        <f t="shared" ref="AA45" si="33">SUM(W45:Z45)</f>
        <v>-58621</v>
      </c>
      <c r="AB45" s="213">
        <v>-60053</v>
      </c>
    </row>
    <row r="46" spans="2:28" s="9" customFormat="1" ht="15" customHeight="1">
      <c r="B46" s="219" t="s">
        <v>202</v>
      </c>
      <c r="C46" s="215">
        <f t="shared" ref="C46:W46" si="34">SUM(C40:C45)</f>
        <v>-2112</v>
      </c>
      <c r="D46" s="215">
        <f t="shared" si="34"/>
        <v>-14120</v>
      </c>
      <c r="E46" s="215">
        <f t="shared" si="34"/>
        <v>-18835</v>
      </c>
      <c r="F46" s="215">
        <f t="shared" si="34"/>
        <v>-46473</v>
      </c>
      <c r="G46" s="216">
        <f t="shared" si="34"/>
        <v>-81540</v>
      </c>
      <c r="H46" s="215">
        <f t="shared" si="34"/>
        <v>-52586</v>
      </c>
      <c r="I46" s="215">
        <f t="shared" si="34"/>
        <v>-3276</v>
      </c>
      <c r="J46" s="215">
        <f t="shared" si="34"/>
        <v>-764782</v>
      </c>
      <c r="K46" s="215">
        <f t="shared" si="34"/>
        <v>-20864</v>
      </c>
      <c r="L46" s="216">
        <f t="shared" si="34"/>
        <v>-841508</v>
      </c>
      <c r="M46" s="215">
        <f t="shared" si="34"/>
        <v>-31132</v>
      </c>
      <c r="N46" s="215">
        <f t="shared" si="34"/>
        <v>-81156</v>
      </c>
      <c r="O46" s="215">
        <f t="shared" si="34"/>
        <v>-23552</v>
      </c>
      <c r="P46" s="215">
        <f t="shared" si="34"/>
        <v>-66136</v>
      </c>
      <c r="Q46" s="216">
        <f t="shared" si="34"/>
        <v>-201976</v>
      </c>
      <c r="R46" s="215">
        <f t="shared" si="34"/>
        <v>-43002</v>
      </c>
      <c r="S46" s="215">
        <f t="shared" si="34"/>
        <v>-1504</v>
      </c>
      <c r="T46" s="215">
        <f t="shared" si="34"/>
        <v>1488</v>
      </c>
      <c r="U46" s="215">
        <f t="shared" si="34"/>
        <v>-477</v>
      </c>
      <c r="V46" s="216">
        <f t="shared" si="34"/>
        <v>-43495</v>
      </c>
      <c r="W46" s="215">
        <f t="shared" si="34"/>
        <v>-37157</v>
      </c>
      <c r="X46" s="215">
        <f t="shared" ref="X46:AA46" si="35">SUM(X40:X45)</f>
        <v>-15184</v>
      </c>
      <c r="Y46" s="215">
        <f t="shared" si="35"/>
        <v>-4916</v>
      </c>
      <c r="Z46" s="215">
        <f t="shared" si="35"/>
        <v>-9724</v>
      </c>
      <c r="AA46" s="216">
        <f t="shared" si="35"/>
        <v>-66981</v>
      </c>
      <c r="AB46" s="215">
        <f t="shared" ref="AB46" si="36">SUM(AB40:AB45)</f>
        <v>-56046</v>
      </c>
    </row>
    <row r="47" spans="2:28" s="9" customFormat="1" ht="15" customHeight="1">
      <c r="B47" s="223"/>
      <c r="C47" s="217"/>
      <c r="D47" s="217"/>
      <c r="E47" s="217"/>
      <c r="F47" s="217"/>
      <c r="G47" s="185"/>
      <c r="H47" s="217"/>
      <c r="I47" s="217"/>
      <c r="J47" s="217"/>
      <c r="K47" s="217"/>
      <c r="L47" s="185"/>
      <c r="M47" s="217"/>
      <c r="N47" s="217"/>
      <c r="O47" s="217"/>
      <c r="P47" s="217"/>
      <c r="Q47" s="185"/>
      <c r="R47" s="217"/>
      <c r="S47" s="217"/>
      <c r="T47" s="217"/>
      <c r="U47" s="217"/>
      <c r="V47" s="185"/>
      <c r="W47" s="217"/>
      <c r="X47" s="217"/>
      <c r="Y47" s="217"/>
      <c r="Z47" s="217"/>
      <c r="AA47" s="185"/>
      <c r="AB47" s="217"/>
    </row>
    <row r="48" spans="2:28" s="9" customFormat="1" ht="15" customHeight="1">
      <c r="B48" s="219" t="s">
        <v>60</v>
      </c>
      <c r="C48" s="226"/>
      <c r="D48" s="226"/>
      <c r="E48" s="226"/>
      <c r="F48" s="226"/>
      <c r="G48" s="179"/>
      <c r="H48" s="217"/>
      <c r="I48" s="226"/>
      <c r="J48" s="226"/>
      <c r="K48" s="226"/>
      <c r="L48" s="179"/>
      <c r="M48" s="217"/>
      <c r="N48" s="226"/>
      <c r="O48" s="226"/>
      <c r="P48" s="226"/>
      <c r="Q48" s="179"/>
      <c r="R48" s="217"/>
      <c r="S48" s="226"/>
      <c r="T48" s="226"/>
      <c r="U48" s="226"/>
      <c r="V48" s="179"/>
      <c r="W48" s="226"/>
      <c r="X48" s="226"/>
      <c r="Y48" s="226"/>
      <c r="Z48" s="226"/>
      <c r="AA48" s="179"/>
      <c r="AB48" s="226"/>
    </row>
    <row r="49" spans="2:28" s="9" customFormat="1" ht="15" customHeight="1">
      <c r="B49" s="223" t="s">
        <v>61</v>
      </c>
      <c r="C49" s="222">
        <v>16463</v>
      </c>
      <c r="D49" s="222">
        <v>35656</v>
      </c>
      <c r="E49" s="222">
        <v>29250</v>
      </c>
      <c r="F49" s="222">
        <v>44276</v>
      </c>
      <c r="G49" s="227">
        <f>SUM(C49:F49)</f>
        <v>125645</v>
      </c>
      <c r="H49" s="222">
        <v>20181</v>
      </c>
      <c r="I49" s="222">
        <v>34135</v>
      </c>
      <c r="J49" s="222">
        <v>-13336</v>
      </c>
      <c r="K49" s="222">
        <v>-499505</v>
      </c>
      <c r="L49" s="227">
        <f>SUM(H49:K49)</f>
        <v>-458525</v>
      </c>
      <c r="M49" s="222">
        <v>0</v>
      </c>
      <c r="N49" s="222">
        <v>0</v>
      </c>
      <c r="O49" s="222">
        <v>0</v>
      </c>
      <c r="P49" s="222">
        <v>-207</v>
      </c>
      <c r="Q49" s="227">
        <f>SUM(M49:P49)</f>
        <v>-207</v>
      </c>
      <c r="R49" s="222">
        <v>0</v>
      </c>
      <c r="S49" s="222">
        <v>0</v>
      </c>
      <c r="T49" s="222">
        <v>0</v>
      </c>
      <c r="U49" s="222">
        <v>0</v>
      </c>
      <c r="V49" s="227">
        <f>SUM(R49:U49)</f>
        <v>0</v>
      </c>
      <c r="W49" s="222">
        <v>0</v>
      </c>
      <c r="X49" s="222">
        <v>0</v>
      </c>
      <c r="Y49" s="222">
        <v>0</v>
      </c>
      <c r="Z49" s="222">
        <v>0</v>
      </c>
      <c r="AA49" s="227">
        <f>SUM(W49:Z49)</f>
        <v>0</v>
      </c>
      <c r="AB49" s="222">
        <v>0</v>
      </c>
    </row>
    <row r="50" spans="2:28" s="9" customFormat="1" ht="15" customHeight="1">
      <c r="B50" s="223" t="s">
        <v>62</v>
      </c>
      <c r="C50" s="210">
        <v>-7534</v>
      </c>
      <c r="D50" s="210">
        <v>-10651</v>
      </c>
      <c r="E50" s="210">
        <v>-12749</v>
      </c>
      <c r="F50" s="210">
        <v>-15268</v>
      </c>
      <c r="G50" s="227">
        <f t="shared" ref="G50:G51" si="37">SUM(C50:F50)</f>
        <v>-46202</v>
      </c>
      <c r="H50" s="210">
        <v>-6573</v>
      </c>
      <c r="I50" s="210">
        <v>-7929</v>
      </c>
      <c r="J50" s="210">
        <v>2251032</v>
      </c>
      <c r="K50" s="210">
        <v>0</v>
      </c>
      <c r="L50" s="227">
        <f t="shared" ref="L50:L51" si="38">SUM(H50:K50)</f>
        <v>2236530</v>
      </c>
      <c r="M50" s="222">
        <v>0</v>
      </c>
      <c r="N50" s="222">
        <v>0</v>
      </c>
      <c r="O50" s="222">
        <v>0</v>
      </c>
      <c r="P50" s="210">
        <v>18582</v>
      </c>
      <c r="Q50" s="227">
        <f t="shared" ref="Q50:Q51" si="39">SUM(M50:P50)</f>
        <v>18582</v>
      </c>
      <c r="R50" s="222">
        <v>0</v>
      </c>
      <c r="S50" s="222">
        <v>0</v>
      </c>
      <c r="T50" s="222">
        <v>0</v>
      </c>
      <c r="U50" s="222">
        <v>0</v>
      </c>
      <c r="V50" s="227">
        <f t="shared" ref="V50:V51" si="40">SUM(R50:U50)</f>
        <v>0</v>
      </c>
      <c r="W50" s="222">
        <v>0</v>
      </c>
      <c r="X50" s="222">
        <v>0</v>
      </c>
      <c r="Y50" s="222">
        <v>0</v>
      </c>
      <c r="Z50" s="222">
        <v>0</v>
      </c>
      <c r="AA50" s="227">
        <f t="shared" ref="AA50:AA51" si="41">SUM(W50:Z50)</f>
        <v>0</v>
      </c>
      <c r="AB50" s="222">
        <v>0</v>
      </c>
    </row>
    <row r="51" spans="2:28" s="9" customFormat="1" ht="15" customHeight="1">
      <c r="B51" s="212" t="s">
        <v>63</v>
      </c>
      <c r="C51" s="228">
        <v>99</v>
      </c>
      <c r="D51" s="228">
        <v>12</v>
      </c>
      <c r="E51" s="228">
        <v>64</v>
      </c>
      <c r="F51" s="228">
        <v>31</v>
      </c>
      <c r="G51" s="229">
        <f t="shared" si="37"/>
        <v>206</v>
      </c>
      <c r="H51" s="228">
        <v>-167</v>
      </c>
      <c r="I51" s="228">
        <v>-5</v>
      </c>
      <c r="J51" s="228">
        <v>0</v>
      </c>
      <c r="K51" s="228">
        <v>0</v>
      </c>
      <c r="L51" s="229">
        <f t="shared" si="38"/>
        <v>-172</v>
      </c>
      <c r="M51" s="228">
        <v>0</v>
      </c>
      <c r="N51" s="228">
        <v>0</v>
      </c>
      <c r="O51" s="228">
        <v>0</v>
      </c>
      <c r="P51" s="228">
        <v>0</v>
      </c>
      <c r="Q51" s="229">
        <f t="shared" si="39"/>
        <v>0</v>
      </c>
      <c r="R51" s="228">
        <v>0</v>
      </c>
      <c r="S51" s="228">
        <v>0</v>
      </c>
      <c r="T51" s="228">
        <v>0</v>
      </c>
      <c r="U51" s="228">
        <v>0</v>
      </c>
      <c r="V51" s="229">
        <f t="shared" si="40"/>
        <v>0</v>
      </c>
      <c r="W51" s="228">
        <v>0</v>
      </c>
      <c r="X51" s="228">
        <v>0</v>
      </c>
      <c r="Y51" s="228">
        <v>0</v>
      </c>
      <c r="Z51" s="228">
        <v>0</v>
      </c>
      <c r="AA51" s="229">
        <f t="shared" si="41"/>
        <v>0</v>
      </c>
      <c r="AB51" s="228">
        <v>0</v>
      </c>
    </row>
    <row r="52" spans="2:28" s="84" customFormat="1" ht="15" customHeight="1">
      <c r="B52" s="206" t="s">
        <v>158</v>
      </c>
      <c r="C52" s="215">
        <f t="shared" ref="C52:L52" si="42">SUM(C49:C51)</f>
        <v>9028</v>
      </c>
      <c r="D52" s="215">
        <f t="shared" si="42"/>
        <v>25017</v>
      </c>
      <c r="E52" s="215">
        <f t="shared" si="42"/>
        <v>16565</v>
      </c>
      <c r="F52" s="215">
        <f t="shared" si="42"/>
        <v>29039</v>
      </c>
      <c r="G52" s="216">
        <f t="shared" si="42"/>
        <v>79649</v>
      </c>
      <c r="H52" s="215">
        <f t="shared" si="42"/>
        <v>13441</v>
      </c>
      <c r="I52" s="215">
        <f t="shared" si="42"/>
        <v>26201</v>
      </c>
      <c r="J52" s="215">
        <f t="shared" si="42"/>
        <v>2237696</v>
      </c>
      <c r="K52" s="215">
        <f t="shared" si="42"/>
        <v>-499505</v>
      </c>
      <c r="L52" s="216">
        <f t="shared" si="42"/>
        <v>1777833</v>
      </c>
      <c r="M52" s="230">
        <f t="shared" ref="M52" si="43">SUM(M49:M51)</f>
        <v>0</v>
      </c>
      <c r="N52" s="230">
        <f t="shared" ref="N52:R52" si="44">SUM(N49:N51)</f>
        <v>0</v>
      </c>
      <c r="O52" s="230">
        <f t="shared" si="44"/>
        <v>0</v>
      </c>
      <c r="P52" s="215">
        <f t="shared" si="44"/>
        <v>18375</v>
      </c>
      <c r="Q52" s="216">
        <f t="shared" si="44"/>
        <v>18375</v>
      </c>
      <c r="R52" s="230">
        <f t="shared" si="44"/>
        <v>0</v>
      </c>
      <c r="S52" s="230">
        <f t="shared" ref="S52:T52" si="45">SUM(S49:S51)</f>
        <v>0</v>
      </c>
      <c r="T52" s="230">
        <f t="shared" si="45"/>
        <v>0</v>
      </c>
      <c r="U52" s="230">
        <f t="shared" ref="U52:V52" si="46">SUM(U49:U51)</f>
        <v>0</v>
      </c>
      <c r="V52" s="216">
        <f t="shared" si="46"/>
        <v>0</v>
      </c>
      <c r="W52" s="230">
        <f t="shared" ref="W52:X52" si="47">SUM(W49:W51)</f>
        <v>0</v>
      </c>
      <c r="X52" s="230">
        <f t="shared" si="47"/>
        <v>0</v>
      </c>
      <c r="Y52" s="230">
        <f t="shared" ref="Y52:AA52" si="48">SUM(Y49:Y51)</f>
        <v>0</v>
      </c>
      <c r="Z52" s="230">
        <f t="shared" si="48"/>
        <v>0</v>
      </c>
      <c r="AA52" s="216">
        <f t="shared" si="48"/>
        <v>0</v>
      </c>
      <c r="AB52" s="230">
        <f t="shared" ref="AB52" si="49">SUM(AB49:AB51)</f>
        <v>0</v>
      </c>
    </row>
    <row r="53" spans="2:28" s="84" customFormat="1" ht="15" customHeight="1">
      <c r="B53" s="199"/>
      <c r="C53" s="218"/>
      <c r="D53" s="218"/>
      <c r="E53" s="218"/>
      <c r="F53" s="218"/>
      <c r="G53" s="113"/>
      <c r="H53" s="218"/>
      <c r="I53" s="218"/>
      <c r="J53" s="218"/>
      <c r="K53" s="218"/>
      <c r="L53" s="113"/>
      <c r="M53" s="218"/>
      <c r="N53" s="218"/>
      <c r="O53" s="218"/>
      <c r="P53" s="218"/>
      <c r="Q53" s="113"/>
      <c r="R53" s="218"/>
      <c r="S53" s="218"/>
      <c r="T53" s="218"/>
      <c r="U53" s="218"/>
      <c r="V53" s="113"/>
      <c r="W53" s="218"/>
      <c r="X53" s="218"/>
      <c r="Y53" s="218"/>
      <c r="Z53" s="218"/>
      <c r="AA53" s="113"/>
      <c r="AB53" s="218"/>
    </row>
    <row r="54" spans="2:28" s="9" customFormat="1" ht="15" customHeight="1">
      <c r="B54" s="231" t="s">
        <v>84</v>
      </c>
      <c r="C54" s="210">
        <v>331</v>
      </c>
      <c r="D54" s="210">
        <v>278</v>
      </c>
      <c r="E54" s="210">
        <v>259</v>
      </c>
      <c r="F54" s="210">
        <v>570</v>
      </c>
      <c r="G54" s="211">
        <f>SUM(C54:F54)</f>
        <v>1438</v>
      </c>
      <c r="H54" s="210">
        <v>-927</v>
      </c>
      <c r="I54" s="210">
        <v>-557</v>
      </c>
      <c r="J54" s="210">
        <v>-327</v>
      </c>
      <c r="K54" s="210">
        <v>61</v>
      </c>
      <c r="L54" s="211">
        <f>SUM(H54:K54)</f>
        <v>-1750</v>
      </c>
      <c r="M54" s="210">
        <v>-89</v>
      </c>
      <c r="N54" s="210">
        <v>-302</v>
      </c>
      <c r="O54" s="210">
        <v>278</v>
      </c>
      <c r="P54" s="210">
        <v>-355</v>
      </c>
      <c r="Q54" s="211">
        <f>SUM(M54:P54)</f>
        <v>-468</v>
      </c>
      <c r="R54" s="210">
        <v>197</v>
      </c>
      <c r="S54" s="210">
        <v>486</v>
      </c>
      <c r="T54" s="210">
        <v>537</v>
      </c>
      <c r="U54" s="210">
        <v>-210</v>
      </c>
      <c r="V54" s="211">
        <f>SUM(R54:U54)</f>
        <v>1010</v>
      </c>
      <c r="W54" s="210">
        <v>261</v>
      </c>
      <c r="X54" s="210">
        <v>-275</v>
      </c>
      <c r="Y54" s="210">
        <v>-48</v>
      </c>
      <c r="Z54" s="210">
        <v>-137</v>
      </c>
      <c r="AA54" s="211">
        <f>SUM(W54:Z54)</f>
        <v>-199</v>
      </c>
      <c r="AB54" s="210">
        <v>-752</v>
      </c>
    </row>
    <row r="55" spans="2:28" s="9" customFormat="1" ht="15" customHeight="1">
      <c r="B55" s="199"/>
      <c r="C55" s="222"/>
      <c r="D55" s="222"/>
      <c r="E55" s="222"/>
      <c r="F55" s="222"/>
      <c r="G55" s="227"/>
      <c r="H55" s="222"/>
      <c r="I55" s="222"/>
      <c r="J55" s="222"/>
      <c r="K55" s="222"/>
      <c r="L55" s="227"/>
      <c r="M55" s="222"/>
      <c r="N55" s="222"/>
      <c r="O55" s="222"/>
      <c r="P55" s="222"/>
      <c r="Q55" s="227"/>
      <c r="R55" s="222"/>
      <c r="S55" s="222"/>
      <c r="T55" s="222"/>
      <c r="U55" s="222"/>
      <c r="V55" s="227"/>
      <c r="W55" s="222"/>
      <c r="X55" s="222"/>
      <c r="Y55" s="222"/>
      <c r="Z55" s="222"/>
      <c r="AA55" s="227"/>
      <c r="AB55" s="222"/>
    </row>
    <row r="56" spans="2:28" s="9" customFormat="1" ht="15" customHeight="1">
      <c r="B56" s="199" t="s">
        <v>184</v>
      </c>
      <c r="C56" s="222">
        <f>C26+C37+C46+C52+C54</f>
        <v>-6507</v>
      </c>
      <c r="D56" s="222">
        <v>6178</v>
      </c>
      <c r="E56" s="222">
        <v>8016</v>
      </c>
      <c r="F56" s="222">
        <v>-36349</v>
      </c>
      <c r="G56" s="211">
        <f>SUM(C56:F56)</f>
        <v>-28662</v>
      </c>
      <c r="H56" s="222">
        <v>-46463</v>
      </c>
      <c r="I56" s="222">
        <v>-6508</v>
      </c>
      <c r="J56" s="222">
        <v>1459727</v>
      </c>
      <c r="K56" s="222">
        <v>-485301</v>
      </c>
      <c r="L56" s="211">
        <f>SUM(H56:K56)</f>
        <v>921455</v>
      </c>
      <c r="M56" s="222">
        <f>M26+M37+M46+M52+M54</f>
        <v>-55996</v>
      </c>
      <c r="N56" s="222">
        <f>N26+N37+N46+N52+N54</f>
        <v>-213219</v>
      </c>
      <c r="O56" s="222">
        <f>O26+O37+O46+O52+O54</f>
        <v>-10243</v>
      </c>
      <c r="P56" s="222">
        <f>P26+P37+P46+P52+P54</f>
        <v>-49389</v>
      </c>
      <c r="Q56" s="211">
        <f>SUM(M56:P56)</f>
        <v>-328847</v>
      </c>
      <c r="R56" s="222">
        <f>R26+R37+R46+R52+R54</f>
        <v>-67916</v>
      </c>
      <c r="S56" s="222">
        <f>S26+S37+S46+S52+S54</f>
        <v>796</v>
      </c>
      <c r="T56" s="222">
        <f>T26+T37+T46+T52+T54</f>
        <v>-2105</v>
      </c>
      <c r="U56" s="222">
        <f>U26+U37+U46+U52+U54</f>
        <v>-81714</v>
      </c>
      <c r="V56" s="211">
        <f>SUM(R56:U56)</f>
        <v>-150939</v>
      </c>
      <c r="W56" s="222">
        <f>W26+W37+W46+W52+W54</f>
        <v>-31932</v>
      </c>
      <c r="X56" s="222">
        <f>X26+X37+X46+X52+X54</f>
        <v>-5434</v>
      </c>
      <c r="Y56" s="222">
        <f>Y26+Y37+Y46+Y52+Y54</f>
        <v>17369</v>
      </c>
      <c r="Z56" s="222">
        <f>Z26+Z37+Z46+Z52+Z54</f>
        <v>38472</v>
      </c>
      <c r="AA56" s="211">
        <f>SUM(W56:Z56)</f>
        <v>18475</v>
      </c>
      <c r="AB56" s="222">
        <f>AB26+AB37+AB46+AB52+AB54</f>
        <v>-91908</v>
      </c>
    </row>
    <row r="57" spans="2:28" s="9" customFormat="1" ht="15" customHeight="1">
      <c r="B57" s="212" t="s">
        <v>185</v>
      </c>
      <c r="C57" s="228">
        <v>168680</v>
      </c>
      <c r="D57" s="228">
        <v>162173</v>
      </c>
      <c r="E57" s="228">
        <v>168352</v>
      </c>
      <c r="F57" s="228">
        <v>176367</v>
      </c>
      <c r="G57" s="229">
        <v>168680</v>
      </c>
      <c r="H57" s="228">
        <v>140018</v>
      </c>
      <c r="I57" s="228">
        <v>93555</v>
      </c>
      <c r="J57" s="228">
        <v>87047</v>
      </c>
      <c r="K57" s="228">
        <v>1546774</v>
      </c>
      <c r="L57" s="229">
        <v>140018</v>
      </c>
      <c r="M57" s="228">
        <v>1061473</v>
      </c>
      <c r="N57" s="164">
        <f>M58</f>
        <v>1005477</v>
      </c>
      <c r="O57" s="164">
        <f>N58</f>
        <v>792258</v>
      </c>
      <c r="P57" s="164">
        <f>O58</f>
        <v>782015</v>
      </c>
      <c r="Q57" s="182">
        <f>L58</f>
        <v>1061473</v>
      </c>
      <c r="R57" s="281">
        <f>P58</f>
        <v>732626</v>
      </c>
      <c r="S57" s="164">
        <f>R58</f>
        <v>664710</v>
      </c>
      <c r="T57" s="164">
        <f>S58</f>
        <v>665506</v>
      </c>
      <c r="U57" s="164">
        <f>T58</f>
        <v>663401</v>
      </c>
      <c r="V57" s="182">
        <f>Q58</f>
        <v>732626</v>
      </c>
      <c r="W57" s="164">
        <f>U58</f>
        <v>581687</v>
      </c>
      <c r="X57" s="164">
        <v>549755</v>
      </c>
      <c r="Y57" s="164">
        <f>X58</f>
        <v>544321</v>
      </c>
      <c r="Z57" s="164">
        <f>Y58</f>
        <v>561690</v>
      </c>
      <c r="AA57" s="182">
        <f>V58</f>
        <v>581687</v>
      </c>
      <c r="AB57" s="164">
        <f>AA58</f>
        <v>600162</v>
      </c>
    </row>
    <row r="58" spans="2:28" s="84" customFormat="1" ht="15" customHeight="1">
      <c r="B58" s="206" t="s">
        <v>186</v>
      </c>
      <c r="C58" s="207">
        <f t="shared" ref="C58:N58" si="50">C56+C57</f>
        <v>162173</v>
      </c>
      <c r="D58" s="207">
        <f t="shared" si="50"/>
        <v>168351</v>
      </c>
      <c r="E58" s="207">
        <f t="shared" si="50"/>
        <v>176368</v>
      </c>
      <c r="F58" s="207">
        <f t="shared" si="50"/>
        <v>140018</v>
      </c>
      <c r="G58" s="208">
        <f t="shared" si="50"/>
        <v>140018</v>
      </c>
      <c r="H58" s="207">
        <f t="shared" si="50"/>
        <v>93555</v>
      </c>
      <c r="I58" s="207">
        <f t="shared" si="50"/>
        <v>87047</v>
      </c>
      <c r="J58" s="207">
        <f t="shared" si="50"/>
        <v>1546774</v>
      </c>
      <c r="K58" s="207">
        <f t="shared" si="50"/>
        <v>1061473</v>
      </c>
      <c r="L58" s="208">
        <f t="shared" si="50"/>
        <v>1061473</v>
      </c>
      <c r="M58" s="207">
        <f t="shared" si="50"/>
        <v>1005477</v>
      </c>
      <c r="N58" s="207">
        <f t="shared" si="50"/>
        <v>792258</v>
      </c>
      <c r="O58" s="207">
        <f t="shared" ref="O58:S58" si="51">O56+O57</f>
        <v>782015</v>
      </c>
      <c r="P58" s="207">
        <f t="shared" si="51"/>
        <v>732626</v>
      </c>
      <c r="Q58" s="208">
        <f t="shared" si="51"/>
        <v>732626</v>
      </c>
      <c r="R58" s="207">
        <f t="shared" si="51"/>
        <v>664710</v>
      </c>
      <c r="S58" s="207">
        <f t="shared" si="51"/>
        <v>665506</v>
      </c>
      <c r="T58" s="207">
        <f t="shared" ref="T58:V58" si="52">T56+T57</f>
        <v>663401</v>
      </c>
      <c r="U58" s="207">
        <f t="shared" si="52"/>
        <v>581687</v>
      </c>
      <c r="V58" s="208">
        <f t="shared" si="52"/>
        <v>581687</v>
      </c>
      <c r="W58" s="207">
        <f t="shared" ref="W58:X58" si="53">W56+W57</f>
        <v>549755</v>
      </c>
      <c r="X58" s="207">
        <f t="shared" si="53"/>
        <v>544321</v>
      </c>
      <c r="Y58" s="207">
        <f t="shared" ref="Y58:AA58" si="54">Y56+Y57</f>
        <v>561690</v>
      </c>
      <c r="Z58" s="207">
        <f t="shared" si="54"/>
        <v>600162</v>
      </c>
      <c r="AA58" s="208">
        <f t="shared" si="54"/>
        <v>600162</v>
      </c>
      <c r="AB58" s="207">
        <f t="shared" ref="AB58" si="55">AB56+AB57</f>
        <v>508254</v>
      </c>
    </row>
    <row r="59" spans="2:28" s="9" customFormat="1" ht="15" customHeight="1">
      <c r="C59" s="110"/>
      <c r="D59" s="110"/>
      <c r="E59" s="110"/>
      <c r="F59" s="110"/>
      <c r="G59" s="134"/>
      <c r="H59" s="110"/>
      <c r="I59" s="110"/>
      <c r="J59" s="110"/>
      <c r="K59" s="110"/>
      <c r="L59" s="134"/>
      <c r="M59" s="110"/>
      <c r="N59" s="110"/>
      <c r="O59" s="110"/>
      <c r="P59" s="110"/>
      <c r="Q59" s="134"/>
      <c r="R59" s="110"/>
      <c r="S59" s="110"/>
      <c r="T59" s="110"/>
      <c r="U59" s="110"/>
      <c r="V59" s="134"/>
      <c r="W59" s="110"/>
      <c r="X59" s="110"/>
      <c r="Y59" s="110"/>
      <c r="Z59" s="110"/>
      <c r="AA59" s="134"/>
      <c r="AB59" s="110"/>
    </row>
    <row r="60" spans="2:28" ht="15" customHeight="1">
      <c r="C60" s="112"/>
      <c r="D60" s="112"/>
      <c r="E60" s="112"/>
    </row>
  </sheetData>
  <hyperlinks>
    <hyperlink ref="C4" location="Cover!A1" display="Back to Main" xr:uid="{05EAF71E-CB52-4C0E-87B6-3E17A287EE1E}"/>
  </hyperlinks>
  <pageMargins left="0.25" right="0.25" top="0.5" bottom="0.5" header="0.3" footer="0.55000000000000004"/>
  <pageSetup scale="48" orientation="landscape" r:id="rId1"/>
  <headerFooter>
    <oddFooter>&amp;L&amp;8&amp;K01+046LiveRamp Holdings, Inc.&amp;C&amp;8&amp;K01+047Page &amp;P of &amp;N</oddFooter>
  </headerFooter>
  <ignoredErrors>
    <ignoredError sqref="L47:L4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X62"/>
  <sheetViews>
    <sheetView showGridLines="0" zoomScale="80" zoomScaleNormal="80" zoomScaleSheetLayoutView="80" workbookViewId="0">
      <pane xSplit="2" ySplit="7" topLeftCell="J8" activePane="bottomRight" state="frozen"/>
      <selection pane="topRight"/>
      <selection pane="bottomLeft"/>
      <selection pane="bottomRight" activeCell="X48" sqref="X48"/>
    </sheetView>
  </sheetViews>
  <sheetFormatPr defaultColWidth="8.7109375" defaultRowHeight="15" customHeight="1" outlineLevelRow="1" outlineLevelCol="2"/>
  <cols>
    <col min="1" max="1" width="5.5703125" style="1" customWidth="1"/>
    <col min="2" max="2" width="48.42578125" style="1" customWidth="1"/>
    <col min="3" max="7" width="12.5703125" style="1" hidden="1" customWidth="1" outlineLevel="2"/>
    <col min="8" max="9" width="12.5703125" style="1" hidden="1" customWidth="1" outlineLevel="1"/>
    <col min="10" max="10" width="12.5703125" style="1" customWidth="1" collapsed="1"/>
    <col min="11" max="24" width="12.5703125" style="1" customWidth="1"/>
    <col min="25" max="31" width="10.5703125" style="1" customWidth="1"/>
    <col min="32" max="34" width="13.42578125" style="1" customWidth="1"/>
    <col min="35" max="16384" width="8.7109375" style="1"/>
  </cols>
  <sheetData>
    <row r="4" spans="2:24" ht="15" customHeight="1">
      <c r="C4" s="108" t="s">
        <v>46</v>
      </c>
    </row>
    <row r="5" spans="2:24" ht="15" customHeight="1">
      <c r="B5" s="200" t="s">
        <v>53</v>
      </c>
      <c r="C5" s="12"/>
      <c r="D5" s="12"/>
      <c r="E5" s="12"/>
      <c r="F5" s="12"/>
      <c r="G5" s="12"/>
      <c r="H5" s="12"/>
      <c r="I5" s="12"/>
      <c r="J5" s="12"/>
      <c r="K5" s="12"/>
      <c r="L5" s="12"/>
      <c r="M5" s="12"/>
      <c r="N5" s="12"/>
      <c r="O5" s="12"/>
      <c r="P5" s="12"/>
      <c r="Q5" s="12"/>
      <c r="R5" s="12"/>
      <c r="S5" s="12"/>
      <c r="T5" s="12"/>
      <c r="U5" s="12"/>
      <c r="V5" s="12"/>
      <c r="W5" s="12"/>
      <c r="X5" s="12"/>
    </row>
    <row r="6" spans="2:24" ht="15" customHeight="1">
      <c r="B6" s="202" t="s">
        <v>54</v>
      </c>
    </row>
    <row r="7" spans="2:24" ht="15" customHeight="1">
      <c r="B7" s="232"/>
      <c r="C7" s="51" t="s">
        <v>118</v>
      </c>
      <c r="D7" s="50" t="s">
        <v>75</v>
      </c>
      <c r="E7" s="50" t="s">
        <v>76</v>
      </c>
      <c r="F7" s="50" t="s">
        <v>77</v>
      </c>
      <c r="G7" s="51" t="s">
        <v>78</v>
      </c>
      <c r="H7" s="50" t="s">
        <v>79</v>
      </c>
      <c r="I7" s="50" t="s">
        <v>80</v>
      </c>
      <c r="J7" s="50" t="s">
        <v>81</v>
      </c>
      <c r="K7" s="51" t="s">
        <v>82</v>
      </c>
      <c r="L7" s="50" t="s">
        <v>151</v>
      </c>
      <c r="M7" s="50" t="s">
        <v>150</v>
      </c>
      <c r="N7" s="50" t="s">
        <v>189</v>
      </c>
      <c r="O7" s="51" t="s">
        <v>190</v>
      </c>
      <c r="P7" s="50" t="s">
        <v>193</v>
      </c>
      <c r="Q7" s="50" t="s">
        <v>194</v>
      </c>
      <c r="R7" s="50" t="s">
        <v>199</v>
      </c>
      <c r="S7" s="51" t="s">
        <v>204</v>
      </c>
      <c r="T7" s="50" t="s">
        <v>205</v>
      </c>
      <c r="U7" s="50" t="s">
        <v>213</v>
      </c>
      <c r="V7" s="50" t="s">
        <v>217</v>
      </c>
      <c r="W7" s="51" t="s">
        <v>219</v>
      </c>
      <c r="X7" s="50" t="s">
        <v>221</v>
      </c>
    </row>
    <row r="8" spans="2:24" ht="15" customHeight="1">
      <c r="B8" s="233" t="s">
        <v>177</v>
      </c>
      <c r="C8" s="205"/>
      <c r="D8" s="50"/>
      <c r="E8" s="50"/>
      <c r="F8" s="50"/>
      <c r="G8" s="205"/>
      <c r="H8" s="50"/>
      <c r="I8" s="50"/>
      <c r="J8" s="50"/>
      <c r="K8" s="205"/>
      <c r="L8" s="50"/>
      <c r="M8" s="50"/>
      <c r="N8" s="50"/>
      <c r="O8" s="205"/>
      <c r="P8" s="50"/>
      <c r="Q8" s="50"/>
      <c r="R8" s="50"/>
      <c r="S8" s="205"/>
      <c r="T8" s="50"/>
      <c r="U8" s="50"/>
      <c r="V8" s="50"/>
      <c r="W8" s="205"/>
      <c r="X8" s="50"/>
    </row>
    <row r="9" spans="2:24" ht="15" customHeight="1">
      <c r="B9" s="234" t="s">
        <v>178</v>
      </c>
      <c r="C9" s="52"/>
      <c r="G9" s="52"/>
      <c r="K9" s="52"/>
      <c r="O9" s="52"/>
      <c r="S9" s="52"/>
      <c r="W9" s="52"/>
    </row>
    <row r="10" spans="2:24" s="153" customFormat="1" ht="15" customHeight="1">
      <c r="B10" s="235" t="s">
        <v>159</v>
      </c>
      <c r="C10" s="113">
        <v>168680</v>
      </c>
      <c r="D10" s="112">
        <v>162173</v>
      </c>
      <c r="E10" s="112">
        <v>168351</v>
      </c>
      <c r="F10" s="112">
        <v>176367</v>
      </c>
      <c r="G10" s="113">
        <v>140018</v>
      </c>
      <c r="H10" s="112">
        <v>93555</v>
      </c>
      <c r="I10" s="236">
        <v>87047</v>
      </c>
      <c r="J10" s="236">
        <v>1546774</v>
      </c>
      <c r="K10" s="113">
        <v>1061473</v>
      </c>
      <c r="L10" s="112">
        <v>1005477</v>
      </c>
      <c r="M10" s="236">
        <v>777443</v>
      </c>
      <c r="N10" s="236">
        <v>767200</v>
      </c>
      <c r="O10" s="113">
        <v>717811</v>
      </c>
      <c r="P10" s="112">
        <v>649895</v>
      </c>
      <c r="Q10" s="112">
        <v>650691</v>
      </c>
      <c r="R10" s="112">
        <v>663401</v>
      </c>
      <c r="S10" s="113">
        <v>572787</v>
      </c>
      <c r="T10" s="112">
        <v>541024</v>
      </c>
      <c r="U10" s="112">
        <v>535590</v>
      </c>
      <c r="V10" s="112">
        <v>552959</v>
      </c>
      <c r="W10" s="113">
        <v>600162</v>
      </c>
      <c r="X10" s="112">
        <v>508254</v>
      </c>
    </row>
    <row r="11" spans="2:24" s="153" customFormat="1" ht="15" customHeight="1">
      <c r="B11" s="235" t="s">
        <v>187</v>
      </c>
      <c r="C11" s="179">
        <v>0</v>
      </c>
      <c r="D11" s="197">
        <v>0</v>
      </c>
      <c r="E11" s="197">
        <v>0</v>
      </c>
      <c r="F11" s="197">
        <v>0</v>
      </c>
      <c r="G11" s="179">
        <v>0</v>
      </c>
      <c r="H11" s="197">
        <v>0</v>
      </c>
      <c r="I11" s="197">
        <v>0</v>
      </c>
      <c r="J11" s="197">
        <v>0</v>
      </c>
      <c r="K11" s="179">
        <v>0</v>
      </c>
      <c r="L11" s="197">
        <v>0</v>
      </c>
      <c r="M11" s="197">
        <v>14815</v>
      </c>
      <c r="N11" s="197">
        <v>14815</v>
      </c>
      <c r="O11" s="179">
        <v>14815</v>
      </c>
      <c r="P11" s="197">
        <v>14815</v>
      </c>
      <c r="Q11" s="197">
        <v>14815</v>
      </c>
      <c r="R11" s="197">
        <v>0</v>
      </c>
      <c r="S11" s="179">
        <v>8900</v>
      </c>
      <c r="T11" s="197">
        <v>8731</v>
      </c>
      <c r="U11" s="197">
        <v>8731</v>
      </c>
      <c r="V11" s="197">
        <v>8731</v>
      </c>
      <c r="W11" s="179">
        <v>0</v>
      </c>
      <c r="X11" s="197">
        <v>0</v>
      </c>
    </row>
    <row r="12" spans="2:24" ht="15" customHeight="1">
      <c r="B12" s="235" t="s">
        <v>94</v>
      </c>
      <c r="C12" s="179">
        <v>38625</v>
      </c>
      <c r="D12" s="197">
        <v>35334</v>
      </c>
      <c r="E12" s="197">
        <v>43534</v>
      </c>
      <c r="F12" s="197">
        <v>48673</v>
      </c>
      <c r="G12" s="179">
        <v>52047</v>
      </c>
      <c r="H12" s="197">
        <v>52895</v>
      </c>
      <c r="I12" s="197">
        <v>41110</v>
      </c>
      <c r="J12" s="197">
        <v>71906</v>
      </c>
      <c r="K12" s="179">
        <v>78563</v>
      </c>
      <c r="L12" s="197">
        <v>81061</v>
      </c>
      <c r="M12" s="197">
        <v>88150</v>
      </c>
      <c r="N12" s="197">
        <v>87709</v>
      </c>
      <c r="O12" s="179">
        <v>92761</v>
      </c>
      <c r="P12" s="197">
        <v>96472</v>
      </c>
      <c r="Q12" s="197">
        <v>99362</v>
      </c>
      <c r="R12" s="197">
        <v>115858</v>
      </c>
      <c r="S12" s="179">
        <v>114284</v>
      </c>
      <c r="T12" s="197">
        <v>120434</v>
      </c>
      <c r="U12" s="197">
        <v>130948</v>
      </c>
      <c r="V12" s="197">
        <v>156827</v>
      </c>
      <c r="W12" s="179">
        <v>148343</v>
      </c>
      <c r="X12" s="197">
        <v>154575</v>
      </c>
    </row>
    <row r="13" spans="2:24" ht="15" customHeight="1">
      <c r="B13" s="235" t="s">
        <v>95</v>
      </c>
      <c r="C13" s="179">
        <v>7525</v>
      </c>
      <c r="D13" s="197">
        <v>16094</v>
      </c>
      <c r="E13" s="197">
        <v>9914</v>
      </c>
      <c r="F13" s="197">
        <v>6501</v>
      </c>
      <c r="G13" s="179">
        <v>9977</v>
      </c>
      <c r="H13" s="197">
        <v>11944</v>
      </c>
      <c r="I13" s="197">
        <v>21185</v>
      </c>
      <c r="J13" s="197">
        <v>0</v>
      </c>
      <c r="K13" s="179">
        <v>7890</v>
      </c>
      <c r="L13" s="197">
        <v>8753</v>
      </c>
      <c r="M13" s="197">
        <v>15676</v>
      </c>
      <c r="N13" s="197">
        <v>17129</v>
      </c>
      <c r="O13" s="179">
        <v>38340</v>
      </c>
      <c r="P13" s="197">
        <v>39776</v>
      </c>
      <c r="Q13" s="197">
        <v>42578</v>
      </c>
      <c r="R13" s="197">
        <v>47709</v>
      </c>
      <c r="S13" s="179">
        <v>65692</v>
      </c>
      <c r="T13" s="197">
        <v>64221</v>
      </c>
      <c r="U13" s="197">
        <v>64079</v>
      </c>
      <c r="V13" s="197">
        <v>62679</v>
      </c>
      <c r="W13" s="179">
        <v>30354</v>
      </c>
      <c r="X13" s="197">
        <v>28970</v>
      </c>
    </row>
    <row r="14" spans="2:24" ht="15" customHeight="1">
      <c r="B14" s="235" t="s">
        <v>96</v>
      </c>
      <c r="C14" s="179">
        <v>29137</v>
      </c>
      <c r="D14" s="197">
        <v>28552</v>
      </c>
      <c r="E14" s="197">
        <v>24337</v>
      </c>
      <c r="F14" s="197">
        <v>19176</v>
      </c>
      <c r="G14" s="179">
        <v>20173</v>
      </c>
      <c r="H14" s="197">
        <v>20478</v>
      </c>
      <c r="I14" s="226">
        <v>23196</v>
      </c>
      <c r="J14" s="164">
        <v>27366</v>
      </c>
      <c r="K14" s="182">
        <v>44150</v>
      </c>
      <c r="L14" s="164">
        <v>42917</v>
      </c>
      <c r="M14" s="164">
        <v>51055</v>
      </c>
      <c r="N14" s="164">
        <v>46219</v>
      </c>
      <c r="O14" s="182">
        <v>32666</v>
      </c>
      <c r="P14" s="164">
        <v>24314</v>
      </c>
      <c r="Q14" s="164">
        <v>24560</v>
      </c>
      <c r="R14" s="164">
        <v>31685</v>
      </c>
      <c r="S14" s="182">
        <v>64052</v>
      </c>
      <c r="T14" s="164">
        <v>37049</v>
      </c>
      <c r="U14" s="164">
        <v>35246</v>
      </c>
      <c r="V14" s="164">
        <v>40584</v>
      </c>
      <c r="W14" s="182">
        <v>36975</v>
      </c>
      <c r="X14" s="164">
        <v>33055</v>
      </c>
    </row>
    <row r="15" spans="2:24" ht="15" hidden="1" customHeight="1" outlineLevel="1">
      <c r="B15" s="212" t="s">
        <v>97</v>
      </c>
      <c r="C15" s="182">
        <v>672625</v>
      </c>
      <c r="D15" s="164">
        <v>655821</v>
      </c>
      <c r="E15" s="164">
        <v>664007</v>
      </c>
      <c r="F15" s="164">
        <v>680059</v>
      </c>
      <c r="G15" s="182">
        <v>688776</v>
      </c>
      <c r="H15" s="164">
        <v>686129</v>
      </c>
      <c r="I15" s="164">
        <v>703004</v>
      </c>
      <c r="J15" s="164">
        <v>0</v>
      </c>
      <c r="K15" s="182">
        <v>0</v>
      </c>
      <c r="L15" s="164">
        <v>0</v>
      </c>
      <c r="M15" s="164">
        <v>0</v>
      </c>
      <c r="N15" s="164">
        <v>0</v>
      </c>
      <c r="O15" s="182">
        <v>0</v>
      </c>
      <c r="P15" s="164">
        <v>0</v>
      </c>
      <c r="Q15" s="164">
        <v>0</v>
      </c>
      <c r="R15" s="164">
        <v>0</v>
      </c>
      <c r="S15" s="182">
        <v>0</v>
      </c>
      <c r="T15" s="164">
        <v>0</v>
      </c>
      <c r="U15" s="164">
        <v>0</v>
      </c>
      <c r="V15" s="164">
        <v>0</v>
      </c>
      <c r="W15" s="182">
        <v>0</v>
      </c>
      <c r="X15" s="164">
        <v>0</v>
      </c>
    </row>
    <row r="16" spans="2:24" s="78" customFormat="1" ht="15" customHeight="1" collapsed="1">
      <c r="B16" s="237" t="s">
        <v>93</v>
      </c>
      <c r="C16" s="238">
        <v>916592</v>
      </c>
      <c r="D16" s="239">
        <v>897974</v>
      </c>
      <c r="E16" s="239">
        <v>910143</v>
      </c>
      <c r="F16" s="239">
        <v>930776</v>
      </c>
      <c r="G16" s="238">
        <v>910991</v>
      </c>
      <c r="H16" s="239">
        <v>865001</v>
      </c>
      <c r="I16" s="239">
        <v>875542</v>
      </c>
      <c r="J16" s="239">
        <v>1646046</v>
      </c>
      <c r="K16" s="238">
        <f t="shared" ref="K16:P16" si="0">SUM(K10:K15)</f>
        <v>1192076</v>
      </c>
      <c r="L16" s="239">
        <f t="shared" si="0"/>
        <v>1138208</v>
      </c>
      <c r="M16" s="239">
        <f t="shared" si="0"/>
        <v>947139</v>
      </c>
      <c r="N16" s="239">
        <f t="shared" si="0"/>
        <v>933072</v>
      </c>
      <c r="O16" s="238">
        <f t="shared" si="0"/>
        <v>896393</v>
      </c>
      <c r="P16" s="239">
        <f t="shared" si="0"/>
        <v>825272</v>
      </c>
      <c r="Q16" s="239">
        <f t="shared" ref="Q16:R16" si="1">SUM(Q10:Q15)</f>
        <v>832006</v>
      </c>
      <c r="R16" s="239">
        <f t="shared" si="1"/>
        <v>858653</v>
      </c>
      <c r="S16" s="238">
        <f t="shared" ref="S16:T16" si="2">SUM(S10:S15)</f>
        <v>825715</v>
      </c>
      <c r="T16" s="239">
        <f t="shared" si="2"/>
        <v>771459</v>
      </c>
      <c r="U16" s="239">
        <f t="shared" ref="U16:W16" si="3">SUM(U10:U15)</f>
        <v>774594</v>
      </c>
      <c r="V16" s="239">
        <f t="shared" si="3"/>
        <v>821780</v>
      </c>
      <c r="W16" s="238">
        <f t="shared" si="3"/>
        <v>815834</v>
      </c>
      <c r="X16" s="239">
        <f t="shared" ref="X16" si="4">SUM(X10:X15)</f>
        <v>724854</v>
      </c>
    </row>
    <row r="17" spans="2:24" ht="15" customHeight="1">
      <c r="B17" s="235"/>
      <c r="C17" s="179"/>
      <c r="D17" s="197"/>
      <c r="E17" s="197"/>
      <c r="F17" s="197"/>
      <c r="G17" s="179"/>
      <c r="H17" s="197"/>
      <c r="I17" s="197"/>
      <c r="J17" s="197"/>
      <c r="K17" s="179"/>
      <c r="L17" s="197"/>
      <c r="M17" s="197"/>
      <c r="N17" s="197"/>
      <c r="O17" s="179"/>
      <c r="P17" s="197"/>
      <c r="Q17" s="197"/>
      <c r="R17" s="197"/>
      <c r="S17" s="179"/>
      <c r="T17" s="197"/>
      <c r="U17" s="197"/>
      <c r="V17" s="197"/>
      <c r="W17" s="179"/>
      <c r="X17" s="197"/>
    </row>
    <row r="18" spans="2:24" ht="15" customHeight="1">
      <c r="B18" s="235" t="s">
        <v>172</v>
      </c>
      <c r="C18" s="179">
        <v>57668</v>
      </c>
      <c r="D18" s="197">
        <v>62359</v>
      </c>
      <c r="E18" s="197">
        <v>57562</v>
      </c>
      <c r="F18" s="197">
        <v>56531</v>
      </c>
      <c r="G18" s="179">
        <v>62353</v>
      </c>
      <c r="H18" s="197">
        <v>62389</v>
      </c>
      <c r="I18" s="197">
        <v>58451</v>
      </c>
      <c r="J18" s="197">
        <v>58782</v>
      </c>
      <c r="K18" s="179">
        <v>64852</v>
      </c>
      <c r="L18" s="197">
        <v>68654</v>
      </c>
      <c r="M18" s="197">
        <v>64440</v>
      </c>
      <c r="N18" s="197">
        <v>43519</v>
      </c>
      <c r="O18" s="179">
        <v>44786</v>
      </c>
      <c r="P18" s="197">
        <v>45077</v>
      </c>
      <c r="Q18" s="197">
        <v>43604</v>
      </c>
      <c r="R18" s="197">
        <v>44076</v>
      </c>
      <c r="S18" s="179">
        <v>44284</v>
      </c>
      <c r="T18" s="197">
        <v>44659</v>
      </c>
      <c r="U18" s="197">
        <v>45214</v>
      </c>
      <c r="V18" s="197">
        <v>46666</v>
      </c>
      <c r="W18" s="179">
        <v>45001</v>
      </c>
      <c r="X18" s="197">
        <v>47270</v>
      </c>
    </row>
    <row r="19" spans="2:24" ht="15" customHeight="1">
      <c r="B19" s="212" t="s">
        <v>173</v>
      </c>
      <c r="C19" s="182">
        <v>22187</v>
      </c>
      <c r="D19" s="164">
        <v>25223</v>
      </c>
      <c r="E19" s="164">
        <v>23456</v>
      </c>
      <c r="F19" s="164">
        <v>25337</v>
      </c>
      <c r="G19" s="182">
        <v>30013</v>
      </c>
      <c r="H19" s="164">
        <v>32270</v>
      </c>
      <c r="I19" s="164">
        <v>29966</v>
      </c>
      <c r="J19" s="164">
        <v>34195</v>
      </c>
      <c r="K19" s="182">
        <v>38809</v>
      </c>
      <c r="L19" s="164">
        <v>44047</v>
      </c>
      <c r="M19" s="164">
        <v>43278</v>
      </c>
      <c r="N19" s="164">
        <v>23137</v>
      </c>
      <c r="O19" s="182">
        <v>25465</v>
      </c>
      <c r="P19" s="164">
        <v>27969</v>
      </c>
      <c r="Q19" s="164">
        <v>28382</v>
      </c>
      <c r="R19" s="164">
        <v>30555</v>
      </c>
      <c r="S19" s="182">
        <v>32327</v>
      </c>
      <c r="T19" s="164">
        <v>34036</v>
      </c>
      <c r="U19" s="164">
        <v>34916</v>
      </c>
      <c r="V19" s="164">
        <v>36080</v>
      </c>
      <c r="W19" s="182">
        <v>33470</v>
      </c>
      <c r="X19" s="164">
        <v>34226</v>
      </c>
    </row>
    <row r="20" spans="2:24" s="78" customFormat="1" ht="15" customHeight="1">
      <c r="B20" s="237" t="s">
        <v>174</v>
      </c>
      <c r="C20" s="238">
        <v>35481</v>
      </c>
      <c r="D20" s="239">
        <v>37136</v>
      </c>
      <c r="E20" s="239">
        <v>34106</v>
      </c>
      <c r="F20" s="239">
        <v>31194</v>
      </c>
      <c r="G20" s="238">
        <v>32340</v>
      </c>
      <c r="H20" s="239">
        <v>30119</v>
      </c>
      <c r="I20" s="239">
        <v>28485</v>
      </c>
      <c r="J20" s="239">
        <f t="shared" ref="J20:O20" si="5">J18-J19</f>
        <v>24587</v>
      </c>
      <c r="K20" s="238">
        <f t="shared" si="5"/>
        <v>26043</v>
      </c>
      <c r="L20" s="239">
        <f t="shared" si="5"/>
        <v>24607</v>
      </c>
      <c r="M20" s="239">
        <f t="shared" si="5"/>
        <v>21162</v>
      </c>
      <c r="N20" s="239">
        <f t="shared" si="5"/>
        <v>20382</v>
      </c>
      <c r="O20" s="238">
        <f t="shared" si="5"/>
        <v>19321</v>
      </c>
      <c r="P20" s="239">
        <f t="shared" ref="P20:Q20" si="6">P18-P19</f>
        <v>17108</v>
      </c>
      <c r="Q20" s="239">
        <f t="shared" si="6"/>
        <v>15222</v>
      </c>
      <c r="R20" s="239">
        <f t="shared" ref="R20:T20" si="7">R18-R19</f>
        <v>13521</v>
      </c>
      <c r="S20" s="238">
        <f t="shared" si="7"/>
        <v>11957</v>
      </c>
      <c r="T20" s="239">
        <f t="shared" si="7"/>
        <v>10623</v>
      </c>
      <c r="U20" s="239">
        <f t="shared" ref="U20:W20" si="8">U18-U19</f>
        <v>10298</v>
      </c>
      <c r="V20" s="239">
        <f t="shared" si="8"/>
        <v>10586</v>
      </c>
      <c r="W20" s="238">
        <f t="shared" si="8"/>
        <v>11531</v>
      </c>
      <c r="X20" s="239">
        <f t="shared" ref="X20" si="9">X18-X19</f>
        <v>13044</v>
      </c>
    </row>
    <row r="21" spans="2:24" ht="15" customHeight="1">
      <c r="B21" s="235"/>
      <c r="C21" s="179"/>
      <c r="D21" s="197"/>
      <c r="E21" s="197"/>
      <c r="F21" s="197"/>
      <c r="G21" s="179"/>
      <c r="H21" s="197"/>
      <c r="I21" s="197"/>
      <c r="J21" s="197"/>
      <c r="K21" s="179"/>
      <c r="L21" s="197"/>
      <c r="M21" s="197"/>
      <c r="N21" s="197"/>
      <c r="O21" s="179"/>
      <c r="P21" s="197"/>
      <c r="Q21" s="197"/>
      <c r="R21" s="197"/>
      <c r="S21" s="179"/>
      <c r="T21" s="197"/>
      <c r="U21" s="197"/>
      <c r="V21" s="197"/>
      <c r="W21" s="179"/>
      <c r="X21" s="197"/>
    </row>
    <row r="22" spans="2:24" ht="15" customHeight="1">
      <c r="B22" s="235" t="s">
        <v>192</v>
      </c>
      <c r="C22" s="179">
        <v>25422</v>
      </c>
      <c r="D22" s="197">
        <v>22140</v>
      </c>
      <c r="E22" s="197">
        <v>18897</v>
      </c>
      <c r="F22" s="197">
        <v>15470</v>
      </c>
      <c r="G22" s="179">
        <v>13970</v>
      </c>
      <c r="H22" s="197">
        <v>10736</v>
      </c>
      <c r="I22" s="197">
        <v>9513</v>
      </c>
      <c r="J22" s="197">
        <v>31574</v>
      </c>
      <c r="K22" s="179">
        <v>28592</v>
      </c>
      <c r="L22" s="197">
        <v>27168</v>
      </c>
      <c r="M22" s="197">
        <v>56741</v>
      </c>
      <c r="N22" s="197">
        <v>51406</v>
      </c>
      <c r="O22" s="179">
        <v>45200</v>
      </c>
      <c r="P22" s="197">
        <v>39915</v>
      </c>
      <c r="Q22" s="197">
        <v>36709</v>
      </c>
      <c r="R22" s="197">
        <v>32577</v>
      </c>
      <c r="S22" s="179">
        <v>39730</v>
      </c>
      <c r="T22" s="197">
        <v>38607</v>
      </c>
      <c r="U22" s="197">
        <v>33970</v>
      </c>
      <c r="V22" s="197">
        <v>31536</v>
      </c>
      <c r="W22" s="179">
        <v>26718</v>
      </c>
      <c r="X22" s="197">
        <v>22050</v>
      </c>
    </row>
    <row r="23" spans="2:24" ht="15" customHeight="1">
      <c r="B23" s="235" t="s">
        <v>98</v>
      </c>
      <c r="C23" s="179">
        <v>200393</v>
      </c>
      <c r="D23" s="197">
        <v>200402</v>
      </c>
      <c r="E23" s="197">
        <v>200413</v>
      </c>
      <c r="F23" s="197">
        <v>200407</v>
      </c>
      <c r="G23" s="179">
        <v>203639</v>
      </c>
      <c r="H23" s="197">
        <v>204954</v>
      </c>
      <c r="I23" s="197">
        <v>204869</v>
      </c>
      <c r="J23" s="197">
        <v>204671</v>
      </c>
      <c r="K23" s="179">
        <v>204656</v>
      </c>
      <c r="L23" s="197">
        <v>207778</v>
      </c>
      <c r="M23" s="197">
        <v>297477</v>
      </c>
      <c r="N23" s="197">
        <v>297780</v>
      </c>
      <c r="O23" s="179">
        <v>297796</v>
      </c>
      <c r="P23" s="197">
        <v>298389</v>
      </c>
      <c r="Q23" s="197">
        <v>300741</v>
      </c>
      <c r="R23" s="197">
        <v>301321</v>
      </c>
      <c r="S23" s="179">
        <v>357446</v>
      </c>
      <c r="T23" s="197">
        <v>364241</v>
      </c>
      <c r="U23" s="197">
        <v>363895</v>
      </c>
      <c r="V23" s="197">
        <v>363789</v>
      </c>
      <c r="W23" s="179">
        <v>363845</v>
      </c>
      <c r="X23" s="197">
        <v>363013</v>
      </c>
    </row>
    <row r="24" spans="2:24" ht="15" customHeight="1">
      <c r="B24" s="234" t="s">
        <v>99</v>
      </c>
      <c r="C24" s="179">
        <v>0</v>
      </c>
      <c r="D24" s="197">
        <v>0</v>
      </c>
      <c r="E24" s="197">
        <v>0</v>
      </c>
      <c r="F24" s="197">
        <v>0</v>
      </c>
      <c r="G24" s="179">
        <v>0</v>
      </c>
      <c r="H24" s="197">
        <v>7441</v>
      </c>
      <c r="I24" s="197">
        <v>8490</v>
      </c>
      <c r="J24" s="197">
        <v>9478</v>
      </c>
      <c r="K24" s="179">
        <v>10741</v>
      </c>
      <c r="L24" s="197">
        <v>10567</v>
      </c>
      <c r="M24" s="197">
        <v>11347</v>
      </c>
      <c r="N24" s="197">
        <v>13451</v>
      </c>
      <c r="O24" s="179">
        <v>16014</v>
      </c>
      <c r="P24" s="197">
        <v>17695</v>
      </c>
      <c r="Q24" s="197">
        <v>19459</v>
      </c>
      <c r="R24" s="197">
        <v>21096</v>
      </c>
      <c r="S24" s="179">
        <v>22619</v>
      </c>
      <c r="T24" s="197">
        <v>26002</v>
      </c>
      <c r="U24" s="197">
        <v>27988</v>
      </c>
      <c r="V24" s="197">
        <v>29483</v>
      </c>
      <c r="W24" s="179">
        <v>30594</v>
      </c>
      <c r="X24" s="197">
        <v>30963</v>
      </c>
    </row>
    <row r="25" spans="2:24" ht="15" customHeight="1">
      <c r="B25" s="212" t="s">
        <v>100</v>
      </c>
      <c r="C25" s="182">
        <f>47115+83</f>
        <v>47198</v>
      </c>
      <c r="D25" s="164">
        <f>44856+51</f>
        <v>44907</v>
      </c>
      <c r="E25" s="164">
        <f>42019+69</f>
        <v>42088</v>
      </c>
      <c r="F25" s="164">
        <f>40537+29</f>
        <v>40566</v>
      </c>
      <c r="G25" s="182">
        <f>37653+201</f>
        <v>37854</v>
      </c>
      <c r="H25" s="164">
        <f>38712+178</f>
        <v>38890</v>
      </c>
      <c r="I25" s="164">
        <v>36481</v>
      </c>
      <c r="J25" s="164">
        <v>11162</v>
      </c>
      <c r="K25" s="182">
        <v>10803</v>
      </c>
      <c r="L25" s="164">
        <v>30976</v>
      </c>
      <c r="M25" s="164">
        <v>29364</v>
      </c>
      <c r="N25" s="164">
        <v>27761</v>
      </c>
      <c r="O25" s="182">
        <v>27165</v>
      </c>
      <c r="P25" s="164">
        <v>35552</v>
      </c>
      <c r="Q25" s="164">
        <v>34500</v>
      </c>
      <c r="R25" s="164">
        <v>32332</v>
      </c>
      <c r="S25" s="182">
        <v>30854</v>
      </c>
      <c r="T25" s="164">
        <v>38973</v>
      </c>
      <c r="U25" s="164">
        <v>71627</v>
      </c>
      <c r="V25" s="164">
        <v>85361</v>
      </c>
      <c r="W25" s="182">
        <v>85214</v>
      </c>
      <c r="X25" s="164">
        <v>80337</v>
      </c>
    </row>
    <row r="26" spans="2:24" s="209" customFormat="1" ht="15" customHeight="1">
      <c r="B26" s="237" t="s">
        <v>175</v>
      </c>
      <c r="C26" s="240">
        <v>1234965</v>
      </c>
      <c r="D26" s="241">
        <v>1214066</v>
      </c>
      <c r="E26" s="241">
        <v>1216968</v>
      </c>
      <c r="F26" s="241">
        <v>1226626</v>
      </c>
      <c r="G26" s="240">
        <v>1209497</v>
      </c>
      <c r="H26" s="241">
        <v>1167151</v>
      </c>
      <c r="I26" s="241">
        <v>1189692</v>
      </c>
      <c r="J26" s="241">
        <f>J16+J20+J22+J23+J24+J25</f>
        <v>1927518</v>
      </c>
      <c r="K26" s="240">
        <f>K16+K20+SUM(K22:K25)</f>
        <v>1472911</v>
      </c>
      <c r="L26" s="241">
        <f>L16+L20+L22+L23+L24+L25</f>
        <v>1439304</v>
      </c>
      <c r="M26" s="241">
        <f>M16+M20+M22+M23+M24+M25</f>
        <v>1363230</v>
      </c>
      <c r="N26" s="241">
        <f>N16+N20+N22+N23+N24+N25</f>
        <v>1343852</v>
      </c>
      <c r="O26" s="240">
        <f>O16+O20+SUM(O22:O25)</f>
        <v>1301889</v>
      </c>
      <c r="P26" s="241">
        <f>P16+P20+P22+P23+P24+P25</f>
        <v>1233931</v>
      </c>
      <c r="Q26" s="241">
        <f>Q16+Q20+Q22+Q23+Q24+Q25</f>
        <v>1238637</v>
      </c>
      <c r="R26" s="241">
        <f>R16+R20+R22+R23+R24+R25</f>
        <v>1259500</v>
      </c>
      <c r="S26" s="240">
        <f>S16+S20+SUM(S22:S25)</f>
        <v>1288321</v>
      </c>
      <c r="T26" s="241">
        <f>T16+T20+T22+T23+T24+T25</f>
        <v>1249905</v>
      </c>
      <c r="U26" s="241">
        <f>U16+U20+U22+U23+U24+U25</f>
        <v>1282372</v>
      </c>
      <c r="V26" s="241">
        <f>V16+V20+V22+V23+V24+V25</f>
        <v>1342535</v>
      </c>
      <c r="W26" s="240">
        <f>W16+W20+SUM(W22:W25)</f>
        <v>1333736</v>
      </c>
      <c r="X26" s="241">
        <f>X16+X20+X22+X23+X24+X25</f>
        <v>1234261</v>
      </c>
    </row>
    <row r="27" spans="2:24" ht="15" customHeight="1">
      <c r="B27" s="234"/>
      <c r="C27" s="126"/>
      <c r="D27" s="107"/>
      <c r="E27" s="107"/>
      <c r="F27" s="107"/>
      <c r="G27" s="126"/>
      <c r="H27" s="107"/>
      <c r="I27" s="107"/>
      <c r="J27" s="107"/>
      <c r="K27" s="126"/>
      <c r="L27" s="107"/>
      <c r="M27" s="107"/>
      <c r="N27" s="107"/>
      <c r="O27" s="126"/>
      <c r="P27" s="107"/>
      <c r="Q27" s="107"/>
      <c r="R27" s="107"/>
      <c r="S27" s="126"/>
      <c r="T27" s="107"/>
      <c r="U27" s="107"/>
      <c r="V27" s="107"/>
      <c r="W27" s="126"/>
      <c r="X27" s="107"/>
    </row>
    <row r="28" spans="2:24" ht="15" customHeight="1">
      <c r="B28" s="242" t="s">
        <v>179</v>
      </c>
      <c r="C28" s="126"/>
      <c r="D28" s="107"/>
      <c r="E28" s="107"/>
      <c r="F28" s="107"/>
      <c r="G28" s="126"/>
      <c r="H28" s="107"/>
      <c r="I28" s="107"/>
      <c r="J28" s="107"/>
      <c r="K28" s="126"/>
      <c r="L28" s="107"/>
      <c r="M28" s="107"/>
      <c r="N28" s="107"/>
      <c r="O28" s="126"/>
      <c r="P28" s="107"/>
      <c r="Q28" s="107"/>
      <c r="R28" s="107"/>
      <c r="S28" s="126"/>
      <c r="T28" s="107"/>
      <c r="U28" s="107"/>
      <c r="V28" s="107"/>
      <c r="W28" s="126"/>
      <c r="X28" s="107"/>
    </row>
    <row r="29" spans="2:24" ht="15" customHeight="1">
      <c r="B29" s="234" t="s">
        <v>180</v>
      </c>
      <c r="C29" s="126"/>
      <c r="D29" s="107"/>
      <c r="E29" s="107"/>
      <c r="F29" s="107"/>
      <c r="G29" s="126"/>
      <c r="H29" s="107"/>
      <c r="I29" s="107"/>
      <c r="J29" s="107"/>
      <c r="K29" s="126"/>
      <c r="L29" s="107"/>
      <c r="M29" s="107"/>
      <c r="N29" s="107"/>
      <c r="O29" s="126"/>
      <c r="P29" s="107"/>
      <c r="Q29" s="107"/>
      <c r="R29" s="107"/>
      <c r="S29" s="126"/>
      <c r="T29" s="107"/>
      <c r="U29" s="107"/>
      <c r="V29" s="107"/>
      <c r="W29" s="126"/>
      <c r="X29" s="107"/>
    </row>
    <row r="30" spans="2:24" s="153" customFormat="1" ht="15" hidden="1" customHeight="1" outlineLevel="1">
      <c r="B30" s="234" t="s">
        <v>102</v>
      </c>
      <c r="C30" s="113">
        <v>39819</v>
      </c>
      <c r="D30" s="112">
        <v>2339</v>
      </c>
      <c r="E30" s="112">
        <v>2089</v>
      </c>
      <c r="F30" s="112">
        <v>1837</v>
      </c>
      <c r="G30" s="113">
        <v>1583</v>
      </c>
      <c r="H30" s="112">
        <v>1327</v>
      </c>
      <c r="I30" s="236">
        <v>0</v>
      </c>
      <c r="J30" s="236">
        <v>0</v>
      </c>
      <c r="K30" s="113">
        <v>0</v>
      </c>
      <c r="L30" s="112">
        <v>0</v>
      </c>
      <c r="M30" s="236">
        <v>0</v>
      </c>
      <c r="N30" s="236">
        <v>0</v>
      </c>
      <c r="O30" s="113">
        <v>0</v>
      </c>
      <c r="P30" s="112">
        <v>0</v>
      </c>
      <c r="Q30" s="112">
        <v>0</v>
      </c>
      <c r="R30" s="112">
        <v>0</v>
      </c>
      <c r="S30" s="113">
        <v>0</v>
      </c>
      <c r="T30" s="112">
        <v>0</v>
      </c>
      <c r="U30" s="112">
        <v>0</v>
      </c>
      <c r="V30" s="112">
        <v>0</v>
      </c>
      <c r="W30" s="113">
        <v>0</v>
      </c>
      <c r="X30" s="112">
        <v>0</v>
      </c>
    </row>
    <row r="31" spans="2:24" ht="15" customHeight="1" collapsed="1">
      <c r="B31" s="234" t="s">
        <v>103</v>
      </c>
      <c r="C31" s="185">
        <v>14969</v>
      </c>
      <c r="D31" s="243">
        <v>21210</v>
      </c>
      <c r="E31" s="243">
        <v>22041</v>
      </c>
      <c r="F31" s="243">
        <v>23237</v>
      </c>
      <c r="G31" s="185">
        <v>18759</v>
      </c>
      <c r="H31" s="243">
        <v>23304</v>
      </c>
      <c r="I31" s="243">
        <v>15854</v>
      </c>
      <c r="J31" s="243">
        <v>25125</v>
      </c>
      <c r="K31" s="185">
        <v>31203</v>
      </c>
      <c r="L31" s="243">
        <v>29930</v>
      </c>
      <c r="M31" s="243">
        <v>31721</v>
      </c>
      <c r="N31" s="243">
        <v>34417</v>
      </c>
      <c r="O31" s="185">
        <v>42204</v>
      </c>
      <c r="P31" s="243">
        <v>38380</v>
      </c>
      <c r="Q31" s="243">
        <v>38102</v>
      </c>
      <c r="R31" s="243">
        <v>44464</v>
      </c>
      <c r="S31" s="185">
        <v>39955</v>
      </c>
      <c r="T31" s="243">
        <v>32231</v>
      </c>
      <c r="U31" s="243">
        <v>44267</v>
      </c>
      <c r="V31" s="243">
        <v>71655</v>
      </c>
      <c r="W31" s="185">
        <v>83197</v>
      </c>
      <c r="X31" s="243">
        <v>66809</v>
      </c>
    </row>
    <row r="32" spans="2:24" ht="15" customHeight="1">
      <c r="B32" s="234" t="s">
        <v>176</v>
      </c>
      <c r="C32" s="185">
        <v>16298</v>
      </c>
      <c r="D32" s="243">
        <v>8501</v>
      </c>
      <c r="E32" s="243">
        <v>10691</v>
      </c>
      <c r="F32" s="243">
        <v>13730</v>
      </c>
      <c r="G32" s="185">
        <v>13774</v>
      </c>
      <c r="H32" s="243">
        <v>10363</v>
      </c>
      <c r="I32" s="243">
        <v>14329</v>
      </c>
      <c r="J32" s="243">
        <v>13960</v>
      </c>
      <c r="K32" s="185">
        <v>18715</v>
      </c>
      <c r="L32" s="243">
        <v>17081</v>
      </c>
      <c r="M32" s="243">
        <v>16716</v>
      </c>
      <c r="N32" s="243">
        <v>21211</v>
      </c>
      <c r="O32" s="185">
        <v>28791</v>
      </c>
      <c r="P32" s="243">
        <v>16727</v>
      </c>
      <c r="Q32" s="243">
        <v>23172</v>
      </c>
      <c r="R32" s="243">
        <v>28599</v>
      </c>
      <c r="S32" s="185">
        <v>46438</v>
      </c>
      <c r="T32" s="243">
        <v>20513</v>
      </c>
      <c r="U32" s="243">
        <v>24427</v>
      </c>
      <c r="V32" s="243">
        <v>32496</v>
      </c>
      <c r="W32" s="185">
        <v>39188</v>
      </c>
      <c r="X32" s="243">
        <v>19556</v>
      </c>
    </row>
    <row r="33" spans="2:24" ht="15" customHeight="1">
      <c r="B33" s="234" t="s">
        <v>104</v>
      </c>
      <c r="C33" s="185">
        <v>43647</v>
      </c>
      <c r="D33" s="243">
        <v>44920</v>
      </c>
      <c r="E33" s="243">
        <v>42945</v>
      </c>
      <c r="F33" s="243">
        <v>36876</v>
      </c>
      <c r="G33" s="185">
        <v>39624</v>
      </c>
      <c r="H33" s="243">
        <v>45440</v>
      </c>
      <c r="I33" s="243">
        <v>44434</v>
      </c>
      <c r="J33" s="243">
        <v>55135</v>
      </c>
      <c r="K33" s="185">
        <v>40916</v>
      </c>
      <c r="L33" s="243">
        <v>70929</v>
      </c>
      <c r="M33" s="243">
        <v>55724</v>
      </c>
      <c r="N33" s="243">
        <v>74079</v>
      </c>
      <c r="O33" s="185">
        <v>68991</v>
      </c>
      <c r="P33" s="243">
        <v>50024</v>
      </c>
      <c r="Q33" s="243">
        <v>58532</v>
      </c>
      <c r="R33" s="243">
        <v>72480</v>
      </c>
      <c r="S33" s="185">
        <v>58353</v>
      </c>
      <c r="T33" s="243">
        <v>57511</v>
      </c>
      <c r="U33" s="243">
        <v>47766</v>
      </c>
      <c r="V33" s="243">
        <v>56221</v>
      </c>
      <c r="W33" s="185">
        <v>46067</v>
      </c>
      <c r="X33" s="243">
        <v>41918</v>
      </c>
    </row>
    <row r="34" spans="2:24" ht="15" customHeight="1">
      <c r="B34" s="234" t="s">
        <v>188</v>
      </c>
      <c r="C34" s="185">
        <v>0</v>
      </c>
      <c r="D34" s="243">
        <v>0</v>
      </c>
      <c r="E34" s="243">
        <v>0</v>
      </c>
      <c r="F34" s="243">
        <v>0</v>
      </c>
      <c r="G34" s="185">
        <v>0</v>
      </c>
      <c r="H34" s="243">
        <v>0</v>
      </c>
      <c r="I34" s="243">
        <v>0</v>
      </c>
      <c r="J34" s="243">
        <v>0</v>
      </c>
      <c r="K34" s="185">
        <v>0</v>
      </c>
      <c r="L34" s="243">
        <v>0</v>
      </c>
      <c r="M34" s="243">
        <v>14815</v>
      </c>
      <c r="N34" s="243">
        <v>14815</v>
      </c>
      <c r="O34" s="185">
        <v>14815</v>
      </c>
      <c r="P34" s="243">
        <v>14815</v>
      </c>
      <c r="Q34" s="243">
        <v>14815</v>
      </c>
      <c r="R34" s="243">
        <v>0</v>
      </c>
      <c r="S34" s="185">
        <v>8900</v>
      </c>
      <c r="T34" s="243">
        <v>8731</v>
      </c>
      <c r="U34" s="243">
        <v>8731</v>
      </c>
      <c r="V34" s="243">
        <v>8731</v>
      </c>
      <c r="W34" s="185">
        <v>0</v>
      </c>
      <c r="X34" s="243">
        <v>0</v>
      </c>
    </row>
    <row r="35" spans="2:24" ht="15" customHeight="1">
      <c r="B35" s="234" t="s">
        <v>72</v>
      </c>
      <c r="C35" s="179">
        <v>4428</v>
      </c>
      <c r="D35" s="197">
        <v>3555</v>
      </c>
      <c r="E35" s="197">
        <v>3393</v>
      </c>
      <c r="F35" s="197">
        <v>5208</v>
      </c>
      <c r="G35" s="179">
        <v>4506</v>
      </c>
      <c r="H35" s="197">
        <v>4911</v>
      </c>
      <c r="I35" s="243">
        <v>2982</v>
      </c>
      <c r="J35" s="243">
        <v>2929</v>
      </c>
      <c r="K35" s="179">
        <v>4284</v>
      </c>
      <c r="L35" s="197">
        <v>3170</v>
      </c>
      <c r="M35" s="243">
        <v>4447</v>
      </c>
      <c r="N35" s="243">
        <v>4553</v>
      </c>
      <c r="O35" s="179">
        <v>6581</v>
      </c>
      <c r="P35" s="197">
        <v>5938</v>
      </c>
      <c r="Q35" s="197">
        <v>6546</v>
      </c>
      <c r="R35" s="197">
        <v>11789</v>
      </c>
      <c r="S35" s="179">
        <v>11603</v>
      </c>
      <c r="T35" s="197">
        <v>11197</v>
      </c>
      <c r="U35" s="197">
        <v>11058</v>
      </c>
      <c r="V35" s="197">
        <v>14933</v>
      </c>
      <c r="W35" s="179">
        <v>16114</v>
      </c>
      <c r="X35" s="197">
        <v>14762</v>
      </c>
    </row>
    <row r="36" spans="2:24" ht="15" customHeight="1">
      <c r="B36" s="223" t="s">
        <v>105</v>
      </c>
      <c r="C36" s="179">
        <v>0</v>
      </c>
      <c r="D36" s="197">
        <v>0</v>
      </c>
      <c r="E36" s="197">
        <v>0</v>
      </c>
      <c r="F36" s="197">
        <v>0</v>
      </c>
      <c r="G36" s="179">
        <v>0</v>
      </c>
      <c r="H36" s="197">
        <v>0</v>
      </c>
      <c r="I36" s="197">
        <v>0</v>
      </c>
      <c r="J36" s="164">
        <v>443590</v>
      </c>
      <c r="K36" s="182">
        <v>0</v>
      </c>
      <c r="L36" s="164">
        <v>0</v>
      </c>
      <c r="M36" s="164">
        <v>0</v>
      </c>
      <c r="N36" s="164">
        <v>0</v>
      </c>
      <c r="O36" s="182">
        <v>0</v>
      </c>
      <c r="P36" s="164">
        <v>0</v>
      </c>
      <c r="Q36" s="164">
        <v>0</v>
      </c>
      <c r="R36" s="164">
        <v>0</v>
      </c>
      <c r="S36" s="182">
        <v>0</v>
      </c>
      <c r="T36" s="164">
        <v>0</v>
      </c>
      <c r="U36" s="164">
        <v>0</v>
      </c>
      <c r="V36" s="164">
        <v>0</v>
      </c>
      <c r="W36" s="182">
        <v>0</v>
      </c>
      <c r="X36" s="164">
        <v>0</v>
      </c>
    </row>
    <row r="37" spans="2:24" ht="15" hidden="1" customHeight="1" outlineLevel="1">
      <c r="B37" s="244" t="s">
        <v>106</v>
      </c>
      <c r="C37" s="188">
        <v>114444</v>
      </c>
      <c r="D37" s="245">
        <v>77747</v>
      </c>
      <c r="E37" s="245">
        <v>85349</v>
      </c>
      <c r="F37" s="245">
        <v>94355</v>
      </c>
      <c r="G37" s="188">
        <v>104060</v>
      </c>
      <c r="H37" s="245">
        <v>78755</v>
      </c>
      <c r="I37" s="245">
        <v>100882</v>
      </c>
      <c r="J37" s="164">
        <v>0</v>
      </c>
      <c r="K37" s="182">
        <v>0</v>
      </c>
      <c r="L37" s="164">
        <v>0</v>
      </c>
      <c r="M37" s="245">
        <v>0</v>
      </c>
      <c r="N37" s="245">
        <v>0</v>
      </c>
      <c r="O37" s="182">
        <v>0</v>
      </c>
      <c r="P37" s="164">
        <v>0</v>
      </c>
      <c r="Q37" s="164">
        <v>0</v>
      </c>
      <c r="R37" s="164">
        <v>0</v>
      </c>
      <c r="S37" s="182">
        <v>0</v>
      </c>
      <c r="T37" s="164">
        <v>0</v>
      </c>
      <c r="U37" s="164">
        <v>0</v>
      </c>
      <c r="V37" s="164">
        <v>0</v>
      </c>
      <c r="W37" s="182">
        <v>0</v>
      </c>
      <c r="X37" s="164">
        <v>0</v>
      </c>
    </row>
    <row r="38" spans="2:24" s="78" customFormat="1" ht="15" customHeight="1" collapsed="1">
      <c r="B38" s="237" t="s">
        <v>101</v>
      </c>
      <c r="C38" s="221">
        <v>233605</v>
      </c>
      <c r="D38" s="246">
        <v>158272</v>
      </c>
      <c r="E38" s="246">
        <v>166508</v>
      </c>
      <c r="F38" s="246">
        <v>175243</v>
      </c>
      <c r="G38" s="221">
        <v>182306</v>
      </c>
      <c r="H38" s="246">
        <v>164100</v>
      </c>
      <c r="I38" s="246">
        <v>178481</v>
      </c>
      <c r="J38" s="246">
        <v>540739</v>
      </c>
      <c r="K38" s="221">
        <f t="shared" ref="K38:P38" si="10">SUM(K30:K37)</f>
        <v>95118</v>
      </c>
      <c r="L38" s="246">
        <f t="shared" si="10"/>
        <v>121110</v>
      </c>
      <c r="M38" s="246">
        <f t="shared" si="10"/>
        <v>123423</v>
      </c>
      <c r="N38" s="246">
        <f t="shared" si="10"/>
        <v>149075</v>
      </c>
      <c r="O38" s="221">
        <f t="shared" si="10"/>
        <v>161382</v>
      </c>
      <c r="P38" s="246">
        <f t="shared" si="10"/>
        <v>125884</v>
      </c>
      <c r="Q38" s="246">
        <f t="shared" ref="Q38:R38" si="11">SUM(Q30:Q37)</f>
        <v>141167</v>
      </c>
      <c r="R38" s="246">
        <f t="shared" si="11"/>
        <v>157332</v>
      </c>
      <c r="S38" s="221">
        <f t="shared" ref="S38" si="12">SUM(S30:S37)</f>
        <v>165249</v>
      </c>
      <c r="T38" s="246">
        <f t="shared" ref="T38:U38" si="13">SUM(T30:T37)</f>
        <v>130183</v>
      </c>
      <c r="U38" s="246">
        <f t="shared" si="13"/>
        <v>136249</v>
      </c>
      <c r="V38" s="246">
        <f t="shared" ref="V38:W38" si="14">SUM(V30:V37)</f>
        <v>184036</v>
      </c>
      <c r="W38" s="221">
        <f t="shared" si="14"/>
        <v>184566</v>
      </c>
      <c r="X38" s="246">
        <f t="shared" ref="X38" si="15">SUM(X30:X37)</f>
        <v>143045</v>
      </c>
    </row>
    <row r="39" spans="2:24" ht="15" customHeight="1">
      <c r="B39" s="235"/>
      <c r="C39" s="185"/>
      <c r="D39" s="243"/>
      <c r="E39" s="243"/>
      <c r="F39" s="243"/>
      <c r="G39" s="185"/>
      <c r="H39" s="243"/>
      <c r="I39" s="243"/>
      <c r="J39" s="243"/>
      <c r="K39" s="185"/>
      <c r="L39" s="243"/>
      <c r="M39" s="243"/>
      <c r="N39" s="243"/>
      <c r="O39" s="185"/>
      <c r="P39" s="243"/>
      <c r="Q39" s="243"/>
      <c r="R39" s="243"/>
      <c r="S39" s="185"/>
      <c r="T39" s="243"/>
      <c r="U39" s="243"/>
      <c r="V39" s="243"/>
      <c r="W39" s="185"/>
      <c r="X39" s="243"/>
    </row>
    <row r="40" spans="2:24" ht="15" hidden="1" customHeight="1" outlineLevel="1">
      <c r="B40" s="235" t="s">
        <v>107</v>
      </c>
      <c r="C40" s="185">
        <v>189241</v>
      </c>
      <c r="D40" s="243">
        <v>228145</v>
      </c>
      <c r="E40" s="243">
        <v>228045</v>
      </c>
      <c r="F40" s="243">
        <v>227943</v>
      </c>
      <c r="G40" s="185">
        <v>227837</v>
      </c>
      <c r="H40" s="243">
        <v>227435</v>
      </c>
      <c r="I40" s="197">
        <v>226307</v>
      </c>
      <c r="J40" s="197">
        <v>0</v>
      </c>
      <c r="K40" s="185">
        <v>0</v>
      </c>
      <c r="L40" s="243">
        <v>0</v>
      </c>
      <c r="M40" s="197">
        <v>0</v>
      </c>
      <c r="N40" s="197">
        <v>0</v>
      </c>
      <c r="O40" s="185">
        <v>0</v>
      </c>
      <c r="P40" s="243">
        <v>0</v>
      </c>
      <c r="Q40" s="243">
        <v>0</v>
      </c>
      <c r="R40" s="243">
        <v>0</v>
      </c>
      <c r="S40" s="185">
        <v>0</v>
      </c>
      <c r="T40" s="243">
        <v>0</v>
      </c>
      <c r="U40" s="243">
        <v>0</v>
      </c>
      <c r="V40" s="243">
        <v>0</v>
      </c>
      <c r="W40" s="185">
        <v>0</v>
      </c>
      <c r="X40" s="243">
        <v>0</v>
      </c>
    </row>
    <row r="41" spans="2:24" ht="15" hidden="1" customHeight="1" outlineLevel="1" collapsed="1">
      <c r="B41" s="235" t="s">
        <v>57</v>
      </c>
      <c r="C41" s="179">
        <v>58374</v>
      </c>
      <c r="D41" s="197">
        <v>60026</v>
      </c>
      <c r="E41" s="197">
        <v>54256</v>
      </c>
      <c r="F41" s="197">
        <v>34300</v>
      </c>
      <c r="G41" s="179">
        <v>40243</v>
      </c>
      <c r="H41" s="197">
        <v>42258</v>
      </c>
      <c r="I41" s="197">
        <v>20675</v>
      </c>
      <c r="J41" s="197"/>
      <c r="K41" s="179"/>
      <c r="L41" s="197"/>
      <c r="M41" s="197"/>
      <c r="N41" s="197"/>
      <c r="O41" s="179"/>
      <c r="P41" s="197"/>
      <c r="Q41" s="197"/>
      <c r="R41" s="197"/>
      <c r="S41" s="179"/>
      <c r="T41" s="197"/>
      <c r="U41" s="197"/>
      <c r="V41" s="197"/>
      <c r="W41" s="179"/>
      <c r="X41" s="197"/>
    </row>
    <row r="42" spans="2:24" ht="15" customHeight="1" collapsed="1">
      <c r="B42" s="235" t="s">
        <v>108</v>
      </c>
      <c r="C42" s="179">
        <v>14765</v>
      </c>
      <c r="D42" s="197">
        <v>14166</v>
      </c>
      <c r="E42" s="197">
        <v>15063</v>
      </c>
      <c r="F42" s="197">
        <v>15029</v>
      </c>
      <c r="G42" s="179">
        <v>10016</v>
      </c>
      <c r="H42" s="197">
        <v>11302</v>
      </c>
      <c r="I42" s="197">
        <v>8380</v>
      </c>
      <c r="J42" s="197">
        <v>29863</v>
      </c>
      <c r="K42" s="179">
        <v>46961</v>
      </c>
      <c r="L42" s="197">
        <v>46037</v>
      </c>
      <c r="M42" s="197">
        <v>53449</v>
      </c>
      <c r="N42" s="197">
        <v>52236</v>
      </c>
      <c r="O42" s="179">
        <v>52995</v>
      </c>
      <c r="P42" s="197">
        <v>49758</v>
      </c>
      <c r="Q42" s="197">
        <v>46608</v>
      </c>
      <c r="R42" s="197">
        <v>43667</v>
      </c>
      <c r="S42" s="179">
        <v>42389</v>
      </c>
      <c r="T42" s="197">
        <v>39126</v>
      </c>
      <c r="U42" s="197">
        <v>73176</v>
      </c>
      <c r="V42" s="197">
        <v>88085</v>
      </c>
      <c r="W42" s="179">
        <v>86110</v>
      </c>
      <c r="X42" s="197">
        <v>85469</v>
      </c>
    </row>
    <row r="43" spans="2:24" ht="15" customHeight="1">
      <c r="B43" s="235"/>
      <c r="C43" s="185"/>
      <c r="D43" s="243"/>
      <c r="E43" s="243"/>
      <c r="F43" s="243"/>
      <c r="G43" s="185"/>
      <c r="H43" s="243"/>
      <c r="I43" s="243"/>
      <c r="J43" s="243"/>
      <c r="K43" s="185"/>
      <c r="L43" s="243"/>
      <c r="M43" s="243"/>
      <c r="N43" s="243"/>
      <c r="O43" s="185"/>
      <c r="P43" s="243"/>
      <c r="Q43" s="243"/>
      <c r="R43" s="243"/>
      <c r="S43" s="185"/>
      <c r="T43" s="243"/>
      <c r="U43" s="243"/>
      <c r="V43" s="243"/>
      <c r="W43" s="185"/>
      <c r="X43" s="243"/>
    </row>
    <row r="44" spans="2:24" ht="15" customHeight="1">
      <c r="B44" s="235" t="s">
        <v>160</v>
      </c>
      <c r="C44" s="185"/>
      <c r="D44" s="243"/>
      <c r="E44" s="243"/>
      <c r="F44" s="243"/>
      <c r="G44" s="185"/>
      <c r="H44" s="243"/>
      <c r="I44" s="243"/>
      <c r="J44" s="243"/>
      <c r="K44" s="185"/>
      <c r="L44" s="243"/>
      <c r="M44" s="243"/>
      <c r="N44" s="243"/>
      <c r="O44" s="185"/>
      <c r="P44" s="243"/>
      <c r="Q44" s="243"/>
      <c r="R44" s="243"/>
      <c r="S44" s="185"/>
      <c r="T44" s="243"/>
      <c r="U44" s="243"/>
      <c r="V44" s="243"/>
      <c r="W44" s="185"/>
      <c r="X44" s="243"/>
    </row>
    <row r="45" spans="2:24" ht="15" customHeight="1">
      <c r="B45" s="235" t="s">
        <v>47</v>
      </c>
      <c r="C45" s="179">
        <v>13288</v>
      </c>
      <c r="D45" s="197">
        <v>13407</v>
      </c>
      <c r="E45" s="197">
        <v>13478</v>
      </c>
      <c r="F45" s="197">
        <v>13552</v>
      </c>
      <c r="G45" s="179">
        <v>13609</v>
      </c>
      <c r="H45" s="197">
        <v>13773</v>
      </c>
      <c r="I45" s="197">
        <v>13836</v>
      </c>
      <c r="J45" s="197">
        <v>14084</v>
      </c>
      <c r="K45" s="179">
        <v>14187</v>
      </c>
      <c r="L45" s="197">
        <v>14245</v>
      </c>
      <c r="M45" s="197">
        <v>14310</v>
      </c>
      <c r="N45" s="197">
        <v>14343</v>
      </c>
      <c r="O45" s="179">
        <v>14394</v>
      </c>
      <c r="P45" s="197">
        <v>14525</v>
      </c>
      <c r="Q45" s="197">
        <v>14570</v>
      </c>
      <c r="R45" s="197">
        <v>14647</v>
      </c>
      <c r="S45" s="179">
        <v>14781</v>
      </c>
      <c r="T45" s="197">
        <v>14866</v>
      </c>
      <c r="U45" s="197">
        <v>14887</v>
      </c>
      <c r="V45" s="197">
        <v>14925</v>
      </c>
      <c r="W45" s="179">
        <v>14984</v>
      </c>
      <c r="X45" s="197">
        <v>15103</v>
      </c>
    </row>
    <row r="46" spans="2:24" ht="15" customHeight="1">
      <c r="B46" s="235" t="s">
        <v>48</v>
      </c>
      <c r="C46" s="179">
        <v>1154429</v>
      </c>
      <c r="D46" s="197">
        <v>1174496</v>
      </c>
      <c r="E46" s="197">
        <v>1197083</v>
      </c>
      <c r="F46" s="197">
        <v>1216565</v>
      </c>
      <c r="G46" s="179">
        <v>1235679</v>
      </c>
      <c r="H46" s="197">
        <v>1256442</v>
      </c>
      <c r="I46" s="197">
        <v>1277614</v>
      </c>
      <c r="J46" s="197">
        <v>1366221</v>
      </c>
      <c r="K46" s="179">
        <v>1406813</v>
      </c>
      <c r="L46" s="197">
        <v>1422879</v>
      </c>
      <c r="M46" s="197">
        <v>1460120</v>
      </c>
      <c r="N46" s="197">
        <v>1479018</v>
      </c>
      <c r="O46" s="179">
        <v>1496565</v>
      </c>
      <c r="P46" s="197">
        <v>1532481</v>
      </c>
      <c r="Q46" s="197">
        <v>1552303</v>
      </c>
      <c r="R46" s="197">
        <v>1574347</v>
      </c>
      <c r="S46" s="179">
        <v>1630072</v>
      </c>
      <c r="T46" s="197">
        <v>1653525</v>
      </c>
      <c r="U46" s="197">
        <v>1669461</v>
      </c>
      <c r="V46" s="197">
        <v>1689172</v>
      </c>
      <c r="W46" s="179">
        <v>1721118</v>
      </c>
      <c r="X46" s="197">
        <v>1753468</v>
      </c>
    </row>
    <row r="47" spans="2:24" ht="15" customHeight="1">
      <c r="B47" s="235" t="s">
        <v>49</v>
      </c>
      <c r="C47" s="179">
        <v>602609</v>
      </c>
      <c r="D47" s="197">
        <v>603551</v>
      </c>
      <c r="E47" s="197">
        <v>600215</v>
      </c>
      <c r="F47" s="197">
        <v>623156</v>
      </c>
      <c r="G47" s="179">
        <v>628331</v>
      </c>
      <c r="H47" s="197">
        <v>638043</v>
      </c>
      <c r="I47" s="197">
        <v>656103</v>
      </c>
      <c r="J47" s="197">
        <v>1715066</v>
      </c>
      <c r="K47" s="179">
        <v>1669605</v>
      </c>
      <c r="L47" s="197">
        <v>1627465</v>
      </c>
      <c r="M47" s="197">
        <v>1587263</v>
      </c>
      <c r="N47" s="197">
        <v>1549223</v>
      </c>
      <c r="O47" s="179">
        <v>1545094</v>
      </c>
      <c r="P47" s="197">
        <v>1523366</v>
      </c>
      <c r="Q47" s="197">
        <v>1499398</v>
      </c>
      <c r="R47" s="197">
        <v>1487673</v>
      </c>
      <c r="S47" s="179">
        <v>1454826</v>
      </c>
      <c r="T47" s="197">
        <v>1472191</v>
      </c>
      <c r="U47" s="197">
        <v>1465760</v>
      </c>
      <c r="V47" s="197">
        <v>1450385</v>
      </c>
      <c r="W47" s="179">
        <v>1420993</v>
      </c>
      <c r="X47" s="197">
        <v>1393775</v>
      </c>
    </row>
    <row r="48" spans="2:24" ht="15" customHeight="1">
      <c r="B48" s="235" t="s">
        <v>50</v>
      </c>
      <c r="C48" s="179">
        <v>7999</v>
      </c>
      <c r="D48" s="197">
        <v>8651</v>
      </c>
      <c r="E48" s="197">
        <v>9410</v>
      </c>
      <c r="F48" s="197">
        <v>9826</v>
      </c>
      <c r="G48" s="179">
        <v>10767</v>
      </c>
      <c r="H48" s="197">
        <v>8899</v>
      </c>
      <c r="I48" s="197">
        <v>7926</v>
      </c>
      <c r="J48" s="197">
        <v>7891</v>
      </c>
      <c r="K48" s="179">
        <v>7801</v>
      </c>
      <c r="L48" s="197">
        <v>7334</v>
      </c>
      <c r="M48" s="197">
        <v>6619</v>
      </c>
      <c r="N48" s="197">
        <v>6776</v>
      </c>
      <c r="O48" s="179">
        <v>5745</v>
      </c>
      <c r="P48" s="197">
        <v>6342</v>
      </c>
      <c r="Q48" s="197">
        <v>6944</v>
      </c>
      <c r="R48" s="197">
        <v>7814</v>
      </c>
      <c r="S48" s="179">
        <v>7522</v>
      </c>
      <c r="T48" s="197">
        <v>6970</v>
      </c>
      <c r="U48" s="197">
        <v>5976</v>
      </c>
      <c r="V48" s="197">
        <v>5890</v>
      </c>
      <c r="W48" s="179">
        <v>5730</v>
      </c>
      <c r="X48" s="197">
        <v>3801</v>
      </c>
    </row>
    <row r="49" spans="2:24" ht="15" customHeight="1">
      <c r="B49" s="212" t="s">
        <v>51</v>
      </c>
      <c r="C49" s="182">
        <v>-1039345</v>
      </c>
      <c r="D49" s="164">
        <v>-1046648</v>
      </c>
      <c r="E49" s="164">
        <v>-1067090</v>
      </c>
      <c r="F49" s="164">
        <v>-1088988</v>
      </c>
      <c r="G49" s="182">
        <v>-1139291</v>
      </c>
      <c r="H49" s="164">
        <v>-1195101</v>
      </c>
      <c r="I49" s="164">
        <v>-1199630</v>
      </c>
      <c r="J49" s="164">
        <v>-1743646</v>
      </c>
      <c r="K49" s="182">
        <v>-1767574</v>
      </c>
      <c r="L49" s="164">
        <v>-1799766</v>
      </c>
      <c r="M49" s="164">
        <v>-1881954</v>
      </c>
      <c r="N49" s="164">
        <v>-1906819</v>
      </c>
      <c r="O49" s="182">
        <v>-1974286</v>
      </c>
      <c r="P49" s="164">
        <v>-2018425</v>
      </c>
      <c r="Q49" s="164">
        <v>-2022353</v>
      </c>
      <c r="R49" s="164">
        <v>-2025980</v>
      </c>
      <c r="S49" s="182">
        <v>-2026518</v>
      </c>
      <c r="T49" s="164">
        <v>-2066956</v>
      </c>
      <c r="U49" s="164">
        <v>-2083137</v>
      </c>
      <c r="V49" s="164">
        <v>-2089958</v>
      </c>
      <c r="W49" s="182">
        <v>-2099765</v>
      </c>
      <c r="X49" s="164">
        <v>-2160400</v>
      </c>
    </row>
    <row r="50" spans="2:24" s="78" customFormat="1" ht="15" customHeight="1">
      <c r="B50" s="237" t="s">
        <v>52</v>
      </c>
      <c r="C50" s="240">
        <v>738980</v>
      </c>
      <c r="D50" s="247">
        <v>753457</v>
      </c>
      <c r="E50" s="247">
        <v>753096</v>
      </c>
      <c r="F50" s="247">
        <v>774111</v>
      </c>
      <c r="G50" s="240">
        <v>749095</v>
      </c>
      <c r="H50" s="247">
        <v>722056</v>
      </c>
      <c r="I50" s="247">
        <v>755849</v>
      </c>
      <c r="J50" s="247">
        <v>1359616</v>
      </c>
      <c r="K50" s="240">
        <f t="shared" ref="K50:P50" si="16">SUM(K45:K49)</f>
        <v>1330832</v>
      </c>
      <c r="L50" s="247">
        <f t="shared" si="16"/>
        <v>1272157</v>
      </c>
      <c r="M50" s="247">
        <f t="shared" si="16"/>
        <v>1186358</v>
      </c>
      <c r="N50" s="247">
        <f t="shared" si="16"/>
        <v>1142541</v>
      </c>
      <c r="O50" s="240">
        <f t="shared" si="16"/>
        <v>1087512</v>
      </c>
      <c r="P50" s="247">
        <f t="shared" si="16"/>
        <v>1058289</v>
      </c>
      <c r="Q50" s="247">
        <f t="shared" ref="Q50:T50" si="17">SUM(Q45:Q49)</f>
        <v>1050862</v>
      </c>
      <c r="R50" s="247">
        <f t="shared" si="17"/>
        <v>1058501</v>
      </c>
      <c r="S50" s="240">
        <f t="shared" si="17"/>
        <v>1080683</v>
      </c>
      <c r="T50" s="247">
        <f t="shared" si="17"/>
        <v>1080596</v>
      </c>
      <c r="U50" s="247">
        <f t="shared" ref="U50:W50" si="18">SUM(U45:U49)</f>
        <v>1072947</v>
      </c>
      <c r="V50" s="247">
        <f t="shared" si="18"/>
        <v>1070414</v>
      </c>
      <c r="W50" s="240">
        <f t="shared" si="18"/>
        <v>1063060</v>
      </c>
      <c r="X50" s="247">
        <f t="shared" ref="X50" si="19">SUM(X45:X49)</f>
        <v>1005747</v>
      </c>
    </row>
    <row r="51" spans="2:24" s="78" customFormat="1" ht="15" customHeight="1">
      <c r="B51" s="237" t="s">
        <v>55</v>
      </c>
      <c r="C51" s="240">
        <v>1234965</v>
      </c>
      <c r="D51" s="247">
        <v>1214066</v>
      </c>
      <c r="E51" s="247">
        <v>1216968</v>
      </c>
      <c r="F51" s="247">
        <v>1226626</v>
      </c>
      <c r="G51" s="240">
        <v>1209497</v>
      </c>
      <c r="H51" s="247">
        <v>1167151</v>
      </c>
      <c r="I51" s="247">
        <v>1189692</v>
      </c>
      <c r="J51" s="247">
        <v>1927518</v>
      </c>
      <c r="K51" s="240">
        <f t="shared" ref="K51:P51" si="20">K38+K40+K41+K42+K50</f>
        <v>1472911</v>
      </c>
      <c r="L51" s="247">
        <f t="shared" si="20"/>
        <v>1439304</v>
      </c>
      <c r="M51" s="247">
        <f t="shared" si="20"/>
        <v>1363230</v>
      </c>
      <c r="N51" s="247">
        <f t="shared" si="20"/>
        <v>1343852</v>
      </c>
      <c r="O51" s="240">
        <f t="shared" si="20"/>
        <v>1301889</v>
      </c>
      <c r="P51" s="247">
        <f t="shared" si="20"/>
        <v>1233931</v>
      </c>
      <c r="Q51" s="247">
        <f t="shared" ref="Q51:T51" si="21">Q38+Q40+Q41+Q42+Q50</f>
        <v>1238637</v>
      </c>
      <c r="R51" s="247">
        <f t="shared" si="21"/>
        <v>1259500</v>
      </c>
      <c r="S51" s="240">
        <f t="shared" si="21"/>
        <v>1288321</v>
      </c>
      <c r="T51" s="247">
        <f t="shared" si="21"/>
        <v>1249905</v>
      </c>
      <c r="U51" s="247">
        <f t="shared" ref="U51:W51" si="22">U38+U40+U41+U42+U50</f>
        <v>1282372</v>
      </c>
      <c r="V51" s="247">
        <f t="shared" si="22"/>
        <v>1342535</v>
      </c>
      <c r="W51" s="240">
        <f t="shared" si="22"/>
        <v>1333736</v>
      </c>
      <c r="X51" s="247">
        <f t="shared" ref="X51" si="23">X38+X40+X41+X42+X50</f>
        <v>1234261</v>
      </c>
    </row>
    <row r="52" spans="2:24" s="9" customFormat="1" ht="15" customHeight="1">
      <c r="C52" s="151"/>
      <c r="G52" s="151"/>
      <c r="K52" s="151"/>
      <c r="O52" s="151"/>
      <c r="S52" s="151"/>
      <c r="W52" s="151"/>
    </row>
    <row r="54" spans="2:24" ht="15" customHeight="1">
      <c r="C54" s="103"/>
      <c r="D54" s="103"/>
      <c r="E54" s="103"/>
      <c r="F54" s="103"/>
      <c r="G54" s="103"/>
      <c r="H54" s="103"/>
      <c r="I54" s="103"/>
      <c r="J54" s="103"/>
      <c r="K54" s="103"/>
      <c r="L54" s="103"/>
      <c r="M54" s="103"/>
      <c r="N54" s="103"/>
      <c r="O54" s="103"/>
      <c r="P54" s="103"/>
      <c r="Q54" s="103"/>
      <c r="R54" s="103"/>
      <c r="S54" s="103"/>
      <c r="T54" s="103"/>
      <c r="U54" s="103"/>
      <c r="V54" s="103"/>
      <c r="W54" s="103"/>
      <c r="X54" s="103"/>
    </row>
    <row r="62" spans="2:24" ht="15" customHeight="1">
      <c r="C62" s="103"/>
      <c r="D62" s="103"/>
      <c r="E62" s="103"/>
      <c r="F62" s="103"/>
      <c r="G62" s="103"/>
      <c r="H62" s="103"/>
      <c r="I62" s="103"/>
      <c r="J62" s="103"/>
      <c r="K62" s="103"/>
      <c r="L62" s="103"/>
      <c r="M62" s="103"/>
      <c r="N62" s="103"/>
      <c r="O62" s="103"/>
      <c r="P62" s="103"/>
      <c r="Q62" s="103"/>
      <c r="R62" s="103"/>
      <c r="S62" s="103"/>
      <c r="T62" s="103"/>
      <c r="U62" s="103"/>
      <c r="V62" s="103"/>
      <c r="W62" s="103"/>
      <c r="X62" s="103"/>
    </row>
  </sheetData>
  <hyperlinks>
    <hyperlink ref="C4" location="Cover!A1" display="Back to Main" xr:uid="{D2DFE842-CFDB-4DA5-8EA7-C7F62F9CC6EA}"/>
  </hyperlinks>
  <pageMargins left="0.25" right="0.25" top="0.5" bottom="0.5" header="0.3" footer="0.55000000000000004"/>
  <pageSetup scale="62"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Props1.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3.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Craig Harrison</cp:lastModifiedBy>
  <cp:lastPrinted>2022-01-25T17:19:56Z</cp:lastPrinted>
  <dcterms:created xsi:type="dcterms:W3CDTF">2018-10-24T22:30:10Z</dcterms:created>
  <dcterms:modified xsi:type="dcterms:W3CDTF">2022-08-03T22:04:58Z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